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6C2E146D-BA47-4396-80A1-18431B8BFFD8}" xr6:coauthVersionLast="45" xr6:coauthVersionMax="45" xr10:uidLastSave="{00000000-0000-0000-0000-000000000000}"/>
  <bookViews>
    <workbookView xWindow="19090" yWindow="-2160" windowWidth="38620" windowHeight="21220" tabRatio="207" xr2:uid="{00000000-000D-0000-FFFF-FFFF00000000}"/>
  </bookViews>
  <sheets>
    <sheet name="Général" sheetId="1" r:id="rId1"/>
    <sheet name="Détail" sheetId="2" r:id="rId2"/>
  </sheets>
  <definedNames>
    <definedName name="Bi_Jour">Général!$R$213</definedName>
    <definedName name="Bi_Nuit">Général!$S$213</definedName>
    <definedName name="CG_EN_2019">Général!$E$158</definedName>
    <definedName name="CG_EX_NUIT">Général!$E$145</definedName>
    <definedName name="CG_J_2019">Général!$K$158</definedName>
    <definedName name="CG_JOUR">Général!$K$145</definedName>
    <definedName name="CG_N_2019">Général!$Q$158</definedName>
    <definedName name="CG_NUIT">Général!$Q$145</definedName>
    <definedName name="CG_NUIT_2019">Général!$E$158</definedName>
    <definedName name="CG2_JOUR">Général!$K$167</definedName>
    <definedName name="CG2_NUIT">Général!$Q$167</definedName>
    <definedName name="ExclNuit">Général!$Q$213</definedName>
    <definedName name="G_2019">Général!$AG$158</definedName>
    <definedName name="GITE">Général!$AG$145</definedName>
    <definedName name="JOUR">Général!$L$165</definedName>
    <definedName name="JOUR_2020">Général!$K$174</definedName>
    <definedName name="MCS_J_2019">Général!$W$158</definedName>
    <definedName name="MCS_JOUR">Général!$W$145</definedName>
    <definedName name="MCS_N_2019">Général!$AB$158</definedName>
    <definedName name="MCS_NUIT">Général!$AB$145</definedName>
    <definedName name="NUIT">Général!$R$165</definedName>
    <definedName name="NUIT_2020">Général!$Q$174</definedName>
    <definedName name="PROD_2018">Général!$AL$145</definedName>
    <definedName name="PROD_2019">Général!$AL$158</definedName>
    <definedName name="PRODUCT">Général!$AL$145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3" i="1" l="1"/>
  <c r="P162" i="1" s="1"/>
  <c r="P161" i="1" s="1"/>
  <c r="N163" i="1"/>
  <c r="P173" i="1"/>
  <c r="P172" i="1"/>
  <c r="P171" i="1" s="1"/>
  <c r="P170" i="1" s="1"/>
  <c r="P169" i="1" s="1"/>
  <c r="P168" i="1" s="1"/>
  <c r="P167" i="1" s="1"/>
  <c r="M168" i="1"/>
  <c r="A168" i="1" s="1"/>
  <c r="M162" i="1"/>
  <c r="B167" i="1"/>
  <c r="A167" i="1"/>
  <c r="B156" i="1"/>
  <c r="B157" i="1"/>
  <c r="B158" i="1"/>
  <c r="B159" i="1"/>
  <c r="B160" i="1"/>
  <c r="A162" i="1"/>
  <c r="B168" i="1"/>
  <c r="B169" i="1"/>
  <c r="B170" i="1"/>
  <c r="B171" i="1"/>
  <c r="B172" i="1"/>
  <c r="B173" i="1"/>
  <c r="B174" i="1"/>
  <c r="B175" i="1"/>
  <c r="B176" i="1"/>
  <c r="B177" i="1"/>
  <c r="B155" i="1"/>
  <c r="P160" i="1" l="1"/>
  <c r="P159" i="1" s="1"/>
  <c r="P158" i="1" s="1"/>
  <c r="P157" i="1" s="1"/>
  <c r="P156" i="1" s="1"/>
  <c r="P155" i="1" s="1"/>
  <c r="AT178" i="1"/>
  <c r="AT175" i="1" l="1"/>
  <c r="AT176" i="1"/>
  <c r="AT177" i="1"/>
  <c r="AS176" i="1"/>
  <c r="AS175" i="1"/>
  <c r="AT169" i="1"/>
  <c r="AT170" i="1"/>
  <c r="AT171" i="1"/>
  <c r="AS170" i="1"/>
  <c r="AS169" i="1"/>
  <c r="K178" i="1" l="1"/>
  <c r="K177" i="1" l="1"/>
  <c r="K176" i="1" l="1"/>
  <c r="R176" i="1" l="1"/>
  <c r="R177" i="1"/>
  <c r="R178" i="1"/>
  <c r="R179" i="1"/>
  <c r="R180" i="1"/>
  <c r="R181" i="1"/>
  <c r="R182" i="1"/>
  <c r="R183" i="1"/>
  <c r="R184" i="1"/>
  <c r="R175" i="1"/>
  <c r="L176" i="1"/>
  <c r="L177" i="1"/>
  <c r="L178" i="1"/>
  <c r="L179" i="1"/>
  <c r="L180" i="1"/>
  <c r="L181" i="1"/>
  <c r="L182" i="1"/>
  <c r="L183" i="1"/>
  <c r="L184" i="1"/>
  <c r="L175" i="1"/>
  <c r="R185" i="1" l="1"/>
  <c r="L185" i="1"/>
  <c r="AT174" i="1"/>
  <c r="AT173" i="1" l="1"/>
  <c r="AT172" i="1" l="1"/>
  <c r="S213" i="1" l="1"/>
  <c r="Q213" i="1"/>
  <c r="AT168" i="1" l="1"/>
  <c r="AT167" i="1"/>
  <c r="AU179" i="1"/>
  <c r="AV179" i="1"/>
  <c r="AH185" i="1" l="1"/>
  <c r="AC185" i="1" l="1"/>
  <c r="X185" i="1"/>
  <c r="AW165" i="1" l="1"/>
  <c r="AW166" i="1"/>
  <c r="AW167" i="1"/>
  <c r="AW169" i="1"/>
  <c r="AW164" i="1"/>
  <c r="AW170" i="1"/>
  <c r="AW171" i="1"/>
  <c r="AW172" i="1"/>
  <c r="AW173" i="1"/>
  <c r="AW174" i="1"/>
  <c r="AW175" i="1"/>
  <c r="AW176" i="1"/>
  <c r="AW177" i="1"/>
  <c r="AW178" i="1"/>
  <c r="AT180" i="1"/>
  <c r="AT181" i="1"/>
  <c r="AT182" i="1"/>
  <c r="AT183" i="1"/>
  <c r="AT184" i="1"/>
  <c r="F185" i="1"/>
  <c r="E188" i="1" s="1"/>
  <c r="AW168" i="1" l="1"/>
  <c r="AW179" i="1" s="1"/>
  <c r="AT179" i="1"/>
  <c r="R165" i="1"/>
  <c r="L165" i="1"/>
  <c r="AN167" i="1"/>
  <c r="AP167" i="1" s="1"/>
  <c r="AM167" i="1"/>
  <c r="AI167" i="1"/>
  <c r="AH167" i="1"/>
  <c r="AD167" i="1"/>
  <c r="AC167" i="1"/>
  <c r="Y167" i="1"/>
  <c r="X167" i="1"/>
  <c r="S167" i="1"/>
  <c r="O167" i="1"/>
  <c r="AF167" i="1" s="1"/>
  <c r="M167" i="1"/>
  <c r="I167" i="1"/>
  <c r="F165" i="1"/>
  <c r="F34" i="2"/>
  <c r="H34" i="2"/>
  <c r="D34" i="2"/>
  <c r="K188" i="1" l="1"/>
  <c r="R171" i="1"/>
  <c r="Q188" i="1"/>
  <c r="R168" i="1"/>
  <c r="R169" i="1"/>
  <c r="L170" i="1"/>
  <c r="L168" i="1"/>
  <c r="L173" i="1"/>
  <c r="L172" i="1"/>
  <c r="R173" i="1"/>
  <c r="L171" i="1"/>
  <c r="R172" i="1"/>
  <c r="L169" i="1"/>
  <c r="R170" i="1"/>
  <c r="L167" i="1"/>
  <c r="R167" i="1"/>
  <c r="AK167" i="1"/>
  <c r="V167" i="1"/>
  <c r="AA167" i="1" s="1"/>
  <c r="I34" i="2"/>
  <c r="P33" i="2"/>
  <c r="M33" i="2"/>
  <c r="K33" i="2"/>
  <c r="H33" i="2"/>
  <c r="F33" i="2"/>
  <c r="D33" i="2"/>
  <c r="H32" i="2"/>
  <c r="F32" i="2"/>
  <c r="D32" i="2"/>
  <c r="S33" i="2" l="1"/>
  <c r="N33" i="2"/>
  <c r="R33" i="2"/>
  <c r="Q33" i="2"/>
  <c r="T33" i="2" s="1"/>
  <c r="I33" i="2"/>
  <c r="I32" i="2"/>
  <c r="H31" i="2"/>
  <c r="F31" i="2"/>
  <c r="D31" i="2"/>
  <c r="I31" i="2" l="1"/>
  <c r="P17" i="2"/>
  <c r="M17" i="2"/>
  <c r="K17" i="2"/>
  <c r="H17" i="2"/>
  <c r="F17" i="2"/>
  <c r="D17" i="2"/>
  <c r="H30" i="2"/>
  <c r="F30" i="2"/>
  <c r="D30" i="2"/>
  <c r="I30" i="2" l="1"/>
  <c r="P29" i="2"/>
  <c r="M29" i="2"/>
  <c r="K29" i="2"/>
  <c r="R29" i="2" s="1"/>
  <c r="H29" i="2"/>
  <c r="F29" i="2"/>
  <c r="D29" i="2"/>
  <c r="S29" i="2" l="1"/>
  <c r="N29" i="2"/>
  <c r="Q29" i="2"/>
  <c r="T29" i="2" s="1"/>
  <c r="I29" i="2"/>
  <c r="D28" i="2"/>
  <c r="F28" i="2"/>
  <c r="H28" i="2"/>
  <c r="K28" i="2"/>
  <c r="M28" i="2"/>
  <c r="P28" i="2"/>
  <c r="N28" i="2" l="1"/>
  <c r="S28" i="2"/>
  <c r="I28" i="2"/>
  <c r="Q28" i="2"/>
  <c r="T28" i="2" s="1"/>
  <c r="R28" i="2"/>
  <c r="D27" i="2"/>
  <c r="F27" i="2"/>
  <c r="H27" i="2"/>
  <c r="K27" i="2"/>
  <c r="M27" i="2"/>
  <c r="P27" i="2"/>
  <c r="N27" i="2" l="1"/>
  <c r="Q27" i="2"/>
  <c r="T27" i="2" s="1"/>
  <c r="I27" i="2"/>
  <c r="S27" i="2"/>
  <c r="R27" i="2"/>
  <c r="D26" i="2"/>
  <c r="F26" i="2"/>
  <c r="H26" i="2"/>
  <c r="K26" i="2"/>
  <c r="M26" i="2"/>
  <c r="P26" i="2"/>
  <c r="N26" i="2" l="1"/>
  <c r="Q26" i="2"/>
  <c r="T26" i="2" s="1"/>
  <c r="I26" i="2"/>
  <c r="S26" i="2"/>
  <c r="R26" i="2"/>
  <c r="D25" i="2"/>
  <c r="F25" i="2"/>
  <c r="H25" i="2"/>
  <c r="K25" i="2"/>
  <c r="M25" i="2"/>
  <c r="P25" i="2"/>
  <c r="N25" i="2" l="1"/>
  <c r="Q25" i="2"/>
  <c r="T25" i="2" s="1"/>
  <c r="I25" i="2"/>
  <c r="S25" i="2"/>
  <c r="R25" i="2"/>
  <c r="P24" i="2"/>
  <c r="M24" i="2"/>
  <c r="K24" i="2"/>
  <c r="H24" i="2"/>
  <c r="F24" i="2"/>
  <c r="D24" i="2"/>
  <c r="N24" i="2" l="1"/>
  <c r="R24" i="2"/>
  <c r="Q24" i="2"/>
  <c r="T24" i="2" s="1"/>
  <c r="S24" i="2"/>
  <c r="I24" i="2"/>
  <c r="P23" i="2"/>
  <c r="M23" i="2"/>
  <c r="K23" i="2"/>
  <c r="H23" i="2"/>
  <c r="F23" i="2"/>
  <c r="D23" i="2"/>
  <c r="Q23" i="2" l="1"/>
  <c r="R23" i="2"/>
  <c r="S23" i="2"/>
  <c r="D20" i="2"/>
  <c r="F20" i="2"/>
  <c r="H20" i="2"/>
  <c r="K20" i="2"/>
  <c r="M20" i="2"/>
  <c r="N20" i="2" s="1"/>
  <c r="P20" i="2"/>
  <c r="R20" i="2" l="1"/>
  <c r="S20" i="2"/>
  <c r="Q20" i="2"/>
  <c r="I20" i="2"/>
  <c r="AR160" i="1"/>
  <c r="AO161" i="1" s="1"/>
  <c r="P18" i="2"/>
  <c r="P19" i="2"/>
  <c r="P21" i="2"/>
  <c r="P22" i="2"/>
  <c r="M18" i="2"/>
  <c r="M19" i="2"/>
  <c r="M21" i="2"/>
  <c r="M22" i="2"/>
  <c r="K18" i="2"/>
  <c r="K19" i="2"/>
  <c r="K21" i="2"/>
  <c r="K22" i="2"/>
  <c r="H18" i="2"/>
  <c r="H19" i="2"/>
  <c r="H21" i="2"/>
  <c r="H22" i="2"/>
  <c r="R17" i="2"/>
  <c r="F18" i="2"/>
  <c r="R18" i="2" s="1"/>
  <c r="F19" i="2"/>
  <c r="F21" i="2"/>
  <c r="F22" i="2"/>
  <c r="D18" i="2"/>
  <c r="D19" i="2"/>
  <c r="T20" i="2"/>
  <c r="D21" i="2"/>
  <c r="D22" i="2"/>
  <c r="S19" i="2" l="1"/>
  <c r="Q19" i="2"/>
  <c r="S17" i="2"/>
  <c r="Q17" i="2"/>
  <c r="T17" i="2" s="1"/>
  <c r="Q18" i="2"/>
  <c r="S18" i="2"/>
  <c r="R22" i="2"/>
  <c r="Q22" i="2"/>
  <c r="T22" i="2" s="1"/>
  <c r="S22" i="2"/>
  <c r="R21" i="2"/>
  <c r="Q21" i="2"/>
  <c r="S21" i="2"/>
  <c r="R19" i="2"/>
  <c r="N21" i="2"/>
  <c r="N19" i="2"/>
  <c r="N22" i="2"/>
  <c r="N23" i="2"/>
  <c r="T23" i="2"/>
  <c r="N18" i="2"/>
  <c r="N17" i="2"/>
  <c r="T21" i="2"/>
  <c r="T19" i="2"/>
  <c r="T18" i="2"/>
  <c r="K11" i="2" l="1"/>
  <c r="K8" i="2" l="1"/>
  <c r="T4" i="2" l="1"/>
  <c r="P16" i="2" l="1"/>
  <c r="P15" i="2"/>
  <c r="P14" i="2"/>
  <c r="P13" i="2"/>
  <c r="P12" i="2"/>
  <c r="P11" i="2"/>
  <c r="P10" i="2"/>
  <c r="P9" i="2"/>
  <c r="P8" i="2"/>
  <c r="P7" i="2"/>
  <c r="P6" i="2"/>
  <c r="P5" i="2"/>
  <c r="M16" i="2"/>
  <c r="M15" i="2"/>
  <c r="M14" i="2"/>
  <c r="M13" i="2"/>
  <c r="M12" i="2"/>
  <c r="M11" i="2"/>
  <c r="N11" i="2" s="1"/>
  <c r="M10" i="2"/>
  <c r="M9" i="2"/>
  <c r="M8" i="2"/>
  <c r="N8" i="2" s="1"/>
  <c r="M7" i="2"/>
  <c r="M6" i="2"/>
  <c r="M5" i="2"/>
  <c r="K16" i="2"/>
  <c r="K15" i="2"/>
  <c r="K14" i="2"/>
  <c r="K13" i="2"/>
  <c r="K12" i="2"/>
  <c r="K10" i="2"/>
  <c r="K9" i="2"/>
  <c r="K7" i="2"/>
  <c r="K6" i="2"/>
  <c r="K5" i="2"/>
  <c r="H16" i="2"/>
  <c r="H15" i="2"/>
  <c r="H14" i="2"/>
  <c r="H13" i="2"/>
  <c r="H12" i="2"/>
  <c r="H11" i="2"/>
  <c r="H10" i="2"/>
  <c r="H9" i="2"/>
  <c r="H8" i="2"/>
  <c r="H7" i="2"/>
  <c r="H6" i="2"/>
  <c r="H5" i="2"/>
  <c r="I23" i="2"/>
  <c r="I22" i="2"/>
  <c r="I21" i="2"/>
  <c r="I19" i="2"/>
  <c r="I18" i="2"/>
  <c r="I17" i="2"/>
  <c r="F16" i="2"/>
  <c r="R16" i="2" s="1"/>
  <c r="F15" i="2"/>
  <c r="R15" i="2" s="1"/>
  <c r="F14" i="2"/>
  <c r="F13" i="2"/>
  <c r="F12" i="2"/>
  <c r="F11" i="2"/>
  <c r="R11" i="2" s="1"/>
  <c r="F10" i="2"/>
  <c r="R10" i="2" s="1"/>
  <c r="F9" i="2"/>
  <c r="F8" i="2"/>
  <c r="R8" i="2" s="1"/>
  <c r="F7" i="2"/>
  <c r="F6" i="2"/>
  <c r="R6" i="2" s="1"/>
  <c r="F5" i="2"/>
  <c r="D6" i="2"/>
  <c r="D7" i="2"/>
  <c r="D8" i="2"/>
  <c r="D9" i="2"/>
  <c r="D10" i="2"/>
  <c r="D11" i="2"/>
  <c r="D12" i="2"/>
  <c r="D13" i="2"/>
  <c r="D14" i="2"/>
  <c r="D15" i="2"/>
  <c r="D16" i="2"/>
  <c r="D5" i="2"/>
  <c r="R7" i="2" l="1"/>
  <c r="R9" i="2"/>
  <c r="N5" i="2"/>
  <c r="N6" i="2"/>
  <c r="S15" i="2"/>
  <c r="Q15" i="2"/>
  <c r="T15" i="2" s="1"/>
  <c r="Q6" i="2"/>
  <c r="T6" i="2" s="1"/>
  <c r="S6" i="2"/>
  <c r="Q14" i="2"/>
  <c r="S14" i="2"/>
  <c r="R14" i="2"/>
  <c r="R13" i="2"/>
  <c r="I5" i="2"/>
  <c r="R5" i="2"/>
  <c r="S12" i="2"/>
  <c r="Q12" i="2"/>
  <c r="T12" i="2" s="1"/>
  <c r="Q10" i="2"/>
  <c r="S10" i="2"/>
  <c r="Q13" i="2"/>
  <c r="T13" i="2" s="1"/>
  <c r="S13" i="2"/>
  <c r="S9" i="2"/>
  <c r="Q9" i="2"/>
  <c r="T9" i="2" s="1"/>
  <c r="S7" i="2"/>
  <c r="Q7" i="2"/>
  <c r="T7" i="2" s="1"/>
  <c r="R12" i="2"/>
  <c r="Q11" i="2"/>
  <c r="T11" i="2" s="1"/>
  <c r="S11" i="2"/>
  <c r="S5" i="2"/>
  <c r="Q5" i="2"/>
  <c r="T5" i="2" s="1"/>
  <c r="S16" i="2"/>
  <c r="Q16" i="2"/>
  <c r="S8" i="2"/>
  <c r="Q8" i="2"/>
  <c r="T8" i="2" s="1"/>
  <c r="I6" i="2"/>
  <c r="N7" i="2"/>
  <c r="I16" i="2"/>
  <c r="N16" i="2"/>
  <c r="I8" i="2"/>
  <c r="T16" i="2"/>
  <c r="N15" i="2"/>
  <c r="I15" i="2"/>
  <c r="N14" i="2"/>
  <c r="I14" i="2"/>
  <c r="T14" i="2"/>
  <c r="N13" i="2"/>
  <c r="I13" i="2"/>
  <c r="N12" i="2"/>
  <c r="I12" i="2"/>
  <c r="I11" i="2"/>
  <c r="N10" i="2"/>
  <c r="I10" i="2"/>
  <c r="T10" i="2"/>
  <c r="N9" i="2"/>
  <c r="I9" i="2"/>
  <c r="I7" i="2"/>
  <c r="AN145" i="1" l="1"/>
  <c r="AM145" i="1"/>
  <c r="AN142" i="1"/>
  <c r="AQ155" i="1" s="1"/>
  <c r="AN143" i="1"/>
  <c r="AM143" i="1" s="1"/>
  <c r="AN144" i="1"/>
  <c r="AM144" i="1" s="1"/>
  <c r="AQ144" i="1"/>
  <c r="AM158" i="1"/>
  <c r="AM148" i="1"/>
  <c r="AM149" i="1"/>
  <c r="AM150" i="1"/>
  <c r="AM151" i="1"/>
  <c r="AM152" i="1"/>
  <c r="AM153" i="1"/>
  <c r="AM154" i="1"/>
  <c r="AM155" i="1"/>
  <c r="AM156" i="1"/>
  <c r="AM157" i="1"/>
  <c r="AM147" i="1"/>
  <c r="AK145" i="1"/>
  <c r="AK143" i="1"/>
  <c r="AK144" i="1"/>
  <c r="AI159" i="1"/>
  <c r="U175" i="1" s="1"/>
  <c r="G159" i="1"/>
  <c r="AM160" i="1"/>
  <c r="AM161" i="1"/>
  <c r="AM162" i="1"/>
  <c r="AM163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59" i="1"/>
  <c r="AH160" i="1"/>
  <c r="AH161" i="1"/>
  <c r="AH162" i="1"/>
  <c r="AH163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59" i="1"/>
  <c r="AC160" i="1"/>
  <c r="AC161" i="1"/>
  <c r="AC162" i="1"/>
  <c r="AC163" i="1"/>
  <c r="AC168" i="1"/>
  <c r="AC169" i="1"/>
  <c r="AC170" i="1"/>
  <c r="AC171" i="1"/>
  <c r="AC172" i="1"/>
  <c r="AC159" i="1"/>
  <c r="X160" i="1"/>
  <c r="X161" i="1"/>
  <c r="X162" i="1"/>
  <c r="X163" i="1"/>
  <c r="X168" i="1"/>
  <c r="X169" i="1"/>
  <c r="X170" i="1"/>
  <c r="X171" i="1"/>
  <c r="X172" i="1"/>
  <c r="X159" i="1"/>
  <c r="R160" i="1"/>
  <c r="R161" i="1"/>
  <c r="R162" i="1"/>
  <c r="R163" i="1"/>
  <c r="R159" i="1"/>
  <c r="L160" i="1"/>
  <c r="L161" i="1"/>
  <c r="L162" i="1"/>
  <c r="L163" i="1"/>
  <c r="L159" i="1"/>
  <c r="F160" i="1"/>
  <c r="F161" i="1"/>
  <c r="F162" i="1"/>
  <c r="F163" i="1"/>
  <c r="F159" i="1"/>
  <c r="AN158" i="1"/>
  <c r="AP158" i="1" s="1"/>
  <c r="AN159" i="1"/>
  <c r="AP159" i="1" s="1"/>
  <c r="AN160" i="1"/>
  <c r="AP160" i="1" s="1"/>
  <c r="AN161" i="1"/>
  <c r="AP161" i="1" s="1"/>
  <c r="AN162" i="1"/>
  <c r="AP162" i="1" s="1"/>
  <c r="AN163" i="1"/>
  <c r="AP163" i="1" s="1"/>
  <c r="AN168" i="1"/>
  <c r="AP168" i="1" s="1"/>
  <c r="AN169" i="1"/>
  <c r="AP169" i="1" s="1"/>
  <c r="AN170" i="1"/>
  <c r="AP170" i="1" s="1"/>
  <c r="AN171" i="1"/>
  <c r="AP171" i="1" s="1"/>
  <c r="AN172" i="1"/>
  <c r="AP172" i="1" s="1"/>
  <c r="AN173" i="1"/>
  <c r="AP173" i="1" s="1"/>
  <c r="AN174" i="1"/>
  <c r="AN175" i="1"/>
  <c r="AN176" i="1"/>
  <c r="AN177" i="1"/>
  <c r="AN178" i="1"/>
  <c r="AN179" i="1"/>
  <c r="AN180" i="1"/>
  <c r="AN181" i="1"/>
  <c r="AN182" i="1"/>
  <c r="AN183" i="1"/>
  <c r="AI160" i="1"/>
  <c r="U176" i="1" s="1"/>
  <c r="AI161" i="1"/>
  <c r="U177" i="1" s="1"/>
  <c r="AI162" i="1"/>
  <c r="AI163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D159" i="1"/>
  <c r="AD160" i="1"/>
  <c r="AD161" i="1"/>
  <c r="AD162" i="1"/>
  <c r="AD163" i="1"/>
  <c r="AD168" i="1"/>
  <c r="AD169" i="1"/>
  <c r="AD170" i="1"/>
  <c r="AD171" i="1"/>
  <c r="Y159" i="1"/>
  <c r="Y160" i="1"/>
  <c r="Y161" i="1"/>
  <c r="Y162" i="1"/>
  <c r="Y163" i="1"/>
  <c r="Y168" i="1"/>
  <c r="Y169" i="1"/>
  <c r="Y170" i="1"/>
  <c r="Y171" i="1"/>
  <c r="S159" i="1"/>
  <c r="T175" i="1" s="1"/>
  <c r="S160" i="1"/>
  <c r="T176" i="1" s="1"/>
  <c r="S161" i="1"/>
  <c r="T177" i="1" s="1"/>
  <c r="S162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M159" i="1"/>
  <c r="M160" i="1"/>
  <c r="M161" i="1"/>
  <c r="A161" i="1" s="1"/>
  <c r="M169" i="1"/>
  <c r="A169" i="1" s="1"/>
  <c r="M170" i="1"/>
  <c r="A170" i="1" s="1"/>
  <c r="M171" i="1"/>
  <c r="A171" i="1" s="1"/>
  <c r="M172" i="1"/>
  <c r="A172" i="1" s="1"/>
  <c r="M173" i="1"/>
  <c r="M174" i="1"/>
  <c r="A174" i="1" s="1"/>
  <c r="M175" i="1"/>
  <c r="A175" i="1" s="1"/>
  <c r="M176" i="1"/>
  <c r="A176" i="1" s="1"/>
  <c r="M177" i="1"/>
  <c r="A177" i="1" s="1"/>
  <c r="M178" i="1"/>
  <c r="M179" i="1"/>
  <c r="M180" i="1"/>
  <c r="M181" i="1"/>
  <c r="M182" i="1"/>
  <c r="M183" i="1"/>
  <c r="G156" i="1"/>
  <c r="H172" i="1" s="1"/>
  <c r="G157" i="1"/>
  <c r="H173" i="1" s="1"/>
  <c r="G158" i="1"/>
  <c r="G160" i="1"/>
  <c r="G161" i="1"/>
  <c r="B161" i="1" s="1"/>
  <c r="G162" i="1"/>
  <c r="B162" i="1" s="1"/>
  <c r="G163" i="1"/>
  <c r="I160" i="1"/>
  <c r="O160" i="1"/>
  <c r="V160" i="1" s="1"/>
  <c r="AA160" i="1" s="1"/>
  <c r="I161" i="1"/>
  <c r="O161" i="1"/>
  <c r="V161" i="1" s="1"/>
  <c r="AA161" i="1" s="1"/>
  <c r="I162" i="1"/>
  <c r="O162" i="1"/>
  <c r="V162" i="1" s="1"/>
  <c r="AA162" i="1" s="1"/>
  <c r="I163" i="1"/>
  <c r="O163" i="1"/>
  <c r="V163" i="1" s="1"/>
  <c r="AA163" i="1" s="1"/>
  <c r="I168" i="1"/>
  <c r="O168" i="1"/>
  <c r="V168" i="1" s="1"/>
  <c r="AA168" i="1" s="1"/>
  <c r="I169" i="1"/>
  <c r="O169" i="1"/>
  <c r="AK169" i="1" s="1"/>
  <c r="V169" i="1"/>
  <c r="AA169" i="1" s="1"/>
  <c r="I170" i="1"/>
  <c r="O170" i="1"/>
  <c r="V170" i="1" s="1"/>
  <c r="AA170" i="1" s="1"/>
  <c r="I171" i="1"/>
  <c r="O171" i="1"/>
  <c r="AK171" i="1" s="1"/>
  <c r="I172" i="1"/>
  <c r="O172" i="1"/>
  <c r="V172" i="1" s="1"/>
  <c r="AA172" i="1" s="1"/>
  <c r="I173" i="1"/>
  <c r="O173" i="1"/>
  <c r="V173" i="1" s="1"/>
  <c r="AA173" i="1" s="1"/>
  <c r="I174" i="1"/>
  <c r="O174" i="1"/>
  <c r="AF174" i="1" s="1"/>
  <c r="I175" i="1"/>
  <c r="O175" i="1"/>
  <c r="V175" i="1" s="1"/>
  <c r="AA175" i="1" s="1"/>
  <c r="I176" i="1"/>
  <c r="O176" i="1"/>
  <c r="AF176" i="1" s="1"/>
  <c r="I177" i="1"/>
  <c r="O177" i="1"/>
  <c r="AK177" i="1" s="1"/>
  <c r="I178" i="1"/>
  <c r="O178" i="1"/>
  <c r="V178" i="1" s="1"/>
  <c r="AA178" i="1" s="1"/>
  <c r="I179" i="1"/>
  <c r="O179" i="1"/>
  <c r="AK179" i="1" s="1"/>
  <c r="I180" i="1"/>
  <c r="O180" i="1"/>
  <c r="V180" i="1" s="1"/>
  <c r="AA180" i="1" s="1"/>
  <c r="I181" i="1"/>
  <c r="O181" i="1"/>
  <c r="V181" i="1" s="1"/>
  <c r="AA181" i="1" s="1"/>
  <c r="I182" i="1"/>
  <c r="O182" i="1"/>
  <c r="AF182" i="1" s="1"/>
  <c r="I183" i="1"/>
  <c r="O183" i="1"/>
  <c r="V183" i="1" s="1"/>
  <c r="AA183" i="1" s="1"/>
  <c r="A173" i="1" l="1"/>
  <c r="J173" i="1"/>
  <c r="J172" i="1" s="1"/>
  <c r="J171" i="1" s="1"/>
  <c r="J170" i="1" s="1"/>
  <c r="J169" i="1" s="1"/>
  <c r="J168" i="1" s="1"/>
  <c r="J167" i="1" s="1"/>
  <c r="J163" i="1" s="1"/>
  <c r="J162" i="1" s="1"/>
  <c r="J161" i="1" s="1"/>
  <c r="J160" i="1" s="1"/>
  <c r="J159" i="1" s="1"/>
  <c r="N176" i="1"/>
  <c r="A160" i="1"/>
  <c r="N175" i="1"/>
  <c r="A159" i="1"/>
  <c r="R191" i="1"/>
  <c r="N177" i="1"/>
  <c r="Q191" i="1"/>
  <c r="S185" i="1"/>
  <c r="M185" i="1"/>
  <c r="AK160" i="1"/>
  <c r="AF162" i="1"/>
  <c r="AF179" i="1"/>
  <c r="AQ157" i="1"/>
  <c r="AK182" i="1"/>
  <c r="V182" i="1"/>
  <c r="AA182" i="1" s="1"/>
  <c r="V179" i="1"/>
  <c r="AA179" i="1" s="1"/>
  <c r="AQ156" i="1"/>
  <c r="V177" i="1"/>
  <c r="AA177" i="1" s="1"/>
  <c r="V171" i="1"/>
  <c r="AA171" i="1" s="1"/>
  <c r="AK173" i="1"/>
  <c r="AK163" i="1"/>
  <c r="AK161" i="1"/>
  <c r="AK172" i="1"/>
  <c r="AF172" i="1"/>
  <c r="AK170" i="1"/>
  <c r="AF171" i="1"/>
  <c r="AF169" i="1"/>
  <c r="AF177" i="1"/>
  <c r="AK175" i="1"/>
  <c r="AK174" i="1"/>
  <c r="AF168" i="1"/>
  <c r="V176" i="1"/>
  <c r="AA176" i="1" s="1"/>
  <c r="AK162" i="1"/>
  <c r="AK176" i="1"/>
  <c r="V174" i="1"/>
  <c r="AA174" i="1" s="1"/>
  <c r="AK183" i="1"/>
  <c r="AK181" i="1"/>
  <c r="AK180" i="1"/>
  <c r="AK178" i="1"/>
  <c r="AK168" i="1"/>
  <c r="AF181" i="1"/>
  <c r="AF173" i="1"/>
  <c r="AF161" i="1"/>
  <c r="AF170" i="1"/>
  <c r="AF178" i="1"/>
  <c r="AF183" i="1"/>
  <c r="AF175" i="1"/>
  <c r="AF163" i="1"/>
  <c r="AF180" i="1"/>
  <c r="AF160" i="1"/>
  <c r="AY152" i="1"/>
  <c r="F158" i="1" l="1"/>
  <c r="F145" i="1"/>
  <c r="AV158" i="1" l="1"/>
  <c r="AW158" i="1" s="1"/>
  <c r="AY145" i="1"/>
  <c r="AV151" i="1"/>
  <c r="AW151" i="1" s="1"/>
  <c r="AN153" i="1" l="1"/>
  <c r="AQ169" i="1" s="1"/>
  <c r="AN154" i="1"/>
  <c r="AQ170" i="1" s="1"/>
  <c r="AN155" i="1"/>
  <c r="AQ171" i="1" s="1"/>
  <c r="AN156" i="1"/>
  <c r="AQ172" i="1" s="1"/>
  <c r="AN157" i="1"/>
  <c r="AI153" i="1"/>
  <c r="AI154" i="1"/>
  <c r="AI155" i="1"/>
  <c r="AI156" i="1"/>
  <c r="AI157" i="1"/>
  <c r="AI158" i="1"/>
  <c r="U174" i="1" s="1"/>
  <c r="AD153" i="1"/>
  <c r="AE169" i="1" s="1"/>
  <c r="AD154" i="1"/>
  <c r="AE170" i="1" s="1"/>
  <c r="AD155" i="1"/>
  <c r="AE171" i="1" s="1"/>
  <c r="AD156" i="1"/>
  <c r="AE172" i="1" s="1"/>
  <c r="AD157" i="1"/>
  <c r="AE173" i="1" s="1"/>
  <c r="AD158" i="1"/>
  <c r="Y153" i="1"/>
  <c r="Z169" i="1" s="1"/>
  <c r="Y154" i="1"/>
  <c r="Z170" i="1" s="1"/>
  <c r="Y155" i="1"/>
  <c r="Z171" i="1" s="1"/>
  <c r="Y156" i="1"/>
  <c r="Z172" i="1" s="1"/>
  <c r="Y157" i="1"/>
  <c r="Z173" i="1" s="1"/>
  <c r="Y158" i="1"/>
  <c r="S153" i="1"/>
  <c r="T169" i="1" s="1"/>
  <c r="S154" i="1"/>
  <c r="T170" i="1" s="1"/>
  <c r="S155" i="1"/>
  <c r="T171" i="1" s="1"/>
  <c r="S156" i="1"/>
  <c r="T172" i="1" s="1"/>
  <c r="S157" i="1"/>
  <c r="T173" i="1" s="1"/>
  <c r="S158" i="1"/>
  <c r="T174" i="1" s="1"/>
  <c r="M153" i="1"/>
  <c r="N169" i="1" s="1"/>
  <c r="M154" i="1"/>
  <c r="N170" i="1" s="1"/>
  <c r="M155" i="1"/>
  <c r="M156" i="1"/>
  <c r="M157" i="1"/>
  <c r="M158" i="1"/>
  <c r="J158" i="1" s="1"/>
  <c r="G154" i="1"/>
  <c r="H170" i="1" s="1"/>
  <c r="G155" i="1"/>
  <c r="H171" i="1" s="1"/>
  <c r="G153" i="1"/>
  <c r="H169" i="1" s="1"/>
  <c r="J157" i="1" l="1"/>
  <c r="J156" i="1" s="1"/>
  <c r="J155" i="1" s="1"/>
  <c r="N172" i="1"/>
  <c r="A156" i="1"/>
  <c r="N173" i="1"/>
  <c r="A157" i="1"/>
  <c r="N171" i="1"/>
  <c r="A155" i="1"/>
  <c r="N174" i="1"/>
  <c r="A158" i="1"/>
  <c r="AJ171" i="1"/>
  <c r="U171" i="1"/>
  <c r="AJ172" i="1"/>
  <c r="U172" i="1"/>
  <c r="AJ169" i="1"/>
  <c r="U169" i="1"/>
  <c r="AJ170" i="1"/>
  <c r="U170" i="1"/>
  <c r="AJ173" i="1"/>
  <c r="U173" i="1"/>
  <c r="AQ173" i="1"/>
  <c r="AP157" i="1"/>
  <c r="F154" i="1"/>
  <c r="I154" i="1"/>
  <c r="L154" i="1"/>
  <c r="O154" i="1"/>
  <c r="V154" i="1" s="1"/>
  <c r="AA154" i="1" s="1"/>
  <c r="R154" i="1"/>
  <c r="X154" i="1"/>
  <c r="AC154" i="1"/>
  <c r="AH154" i="1"/>
  <c r="F155" i="1"/>
  <c r="I155" i="1"/>
  <c r="L155" i="1"/>
  <c r="O155" i="1"/>
  <c r="V155" i="1" s="1"/>
  <c r="AA155" i="1" s="1"/>
  <c r="R155" i="1"/>
  <c r="X155" i="1"/>
  <c r="AC155" i="1"/>
  <c r="AH155" i="1"/>
  <c r="F156" i="1"/>
  <c r="I156" i="1"/>
  <c r="L156" i="1"/>
  <c r="O156" i="1"/>
  <c r="V156" i="1" s="1"/>
  <c r="AA156" i="1" s="1"/>
  <c r="R156" i="1"/>
  <c r="X156" i="1"/>
  <c r="AC156" i="1"/>
  <c r="AH156" i="1"/>
  <c r="F157" i="1"/>
  <c r="H157" i="1"/>
  <c r="I157" i="1"/>
  <c r="L157" i="1"/>
  <c r="N157" i="1"/>
  <c r="O157" i="1"/>
  <c r="V157" i="1" s="1"/>
  <c r="AA157" i="1" s="1"/>
  <c r="R157" i="1"/>
  <c r="T157" i="1"/>
  <c r="X157" i="1"/>
  <c r="AC157" i="1"/>
  <c r="AE157" i="1"/>
  <c r="AH157" i="1"/>
  <c r="H158" i="1"/>
  <c r="I158" i="1"/>
  <c r="O158" i="1"/>
  <c r="V158" i="1" s="1"/>
  <c r="AA158" i="1" s="1"/>
  <c r="R158" i="1"/>
  <c r="T158" i="1"/>
  <c r="X158" i="1"/>
  <c r="AC158" i="1"/>
  <c r="AH158" i="1"/>
  <c r="I159" i="1"/>
  <c r="O159" i="1"/>
  <c r="V159" i="1" s="1"/>
  <c r="AA159" i="1" s="1"/>
  <c r="AK158" i="1" l="1"/>
  <c r="AF158" i="1"/>
  <c r="AF156" i="1"/>
  <c r="AF155" i="1"/>
  <c r="AK157" i="1"/>
  <c r="AK159" i="1"/>
  <c r="AK156" i="1"/>
  <c r="AK155" i="1"/>
  <c r="AK154" i="1"/>
  <c r="AF157" i="1"/>
  <c r="AF154" i="1"/>
  <c r="AF159" i="1"/>
  <c r="G150" i="1"/>
  <c r="H162" i="1" s="1"/>
  <c r="G149" i="1"/>
  <c r="H161" i="1" s="1"/>
  <c r="AM185" i="1" l="1"/>
  <c r="AG188" i="1"/>
  <c r="AB188" i="1"/>
  <c r="W188" i="1"/>
  <c r="O148" i="1"/>
  <c r="AK148" i="1" s="1"/>
  <c r="O149" i="1"/>
  <c r="AF149" i="1" s="1"/>
  <c r="O150" i="1"/>
  <c r="AF150" i="1" s="1"/>
  <c r="O151" i="1"/>
  <c r="V151" i="1" s="1"/>
  <c r="AA151" i="1" s="1"/>
  <c r="O152" i="1"/>
  <c r="AF152" i="1" s="1"/>
  <c r="O153" i="1"/>
  <c r="AF153" i="1" s="1"/>
  <c r="O184" i="1"/>
  <c r="AF184" i="1" s="1"/>
  <c r="I148" i="1"/>
  <c r="I149" i="1"/>
  <c r="I150" i="1"/>
  <c r="I151" i="1"/>
  <c r="I152" i="1"/>
  <c r="I153" i="1"/>
  <c r="I184" i="1"/>
  <c r="I147" i="1"/>
  <c r="O147" i="1"/>
  <c r="AK147" i="1" s="1"/>
  <c r="AF147" i="1"/>
  <c r="V147" i="1"/>
  <c r="AA147" i="1" s="1"/>
  <c r="V153" i="1" l="1"/>
  <c r="AA153" i="1" s="1"/>
  <c r="V152" i="1"/>
  <c r="AA152" i="1" s="1"/>
  <c r="AK153" i="1"/>
  <c r="AK152" i="1"/>
  <c r="V150" i="1"/>
  <c r="AA150" i="1" s="1"/>
  <c r="AK184" i="1"/>
  <c r="V184" i="1"/>
  <c r="AA184" i="1" s="1"/>
  <c r="AF148" i="1"/>
  <c r="V149" i="1"/>
  <c r="AA149" i="1" s="1"/>
  <c r="V148" i="1"/>
  <c r="AA148" i="1" s="1"/>
  <c r="AK151" i="1"/>
  <c r="AF151" i="1"/>
  <c r="AK150" i="1"/>
  <c r="AK149" i="1"/>
  <c r="AN148" i="1"/>
  <c r="AQ160" i="1" s="1"/>
  <c r="AN149" i="1"/>
  <c r="AQ161" i="1" s="1"/>
  <c r="AN150" i="1"/>
  <c r="AQ162" i="1" s="1"/>
  <c r="AN151" i="1"/>
  <c r="AN152" i="1"/>
  <c r="AQ168" i="1" s="1"/>
  <c r="AN147" i="1"/>
  <c r="AQ159" i="1" s="1"/>
  <c r="AH148" i="1"/>
  <c r="AH149" i="1"/>
  <c r="AH150" i="1"/>
  <c r="AH151" i="1"/>
  <c r="AH152" i="1"/>
  <c r="AH153" i="1"/>
  <c r="AH147" i="1"/>
  <c r="AI147" i="1"/>
  <c r="AJ159" i="1" s="1"/>
  <c r="AI148" i="1"/>
  <c r="AJ160" i="1" s="1"/>
  <c r="AI149" i="1"/>
  <c r="AJ161" i="1" s="1"/>
  <c r="AI150" i="1"/>
  <c r="AJ162" i="1" s="1"/>
  <c r="AI151" i="1"/>
  <c r="U167" i="1" s="1"/>
  <c r="AI152" i="1"/>
  <c r="AI145" i="1"/>
  <c r="AJ158" i="1" s="1"/>
  <c r="AD147" i="1"/>
  <c r="AE159" i="1" s="1"/>
  <c r="AD148" i="1"/>
  <c r="AE160" i="1" s="1"/>
  <c r="AD149" i="1"/>
  <c r="AE161" i="1" s="1"/>
  <c r="AD150" i="1"/>
  <c r="AE162" i="1" s="1"/>
  <c r="AD151" i="1"/>
  <c r="AD152" i="1"/>
  <c r="AE168" i="1" s="1"/>
  <c r="AD145" i="1"/>
  <c r="AE158" i="1" s="1"/>
  <c r="Y147" i="1"/>
  <c r="Z159" i="1" s="1"/>
  <c r="Y148" i="1"/>
  <c r="Z160" i="1" s="1"/>
  <c r="Y149" i="1"/>
  <c r="Z161" i="1" s="1"/>
  <c r="Y150" i="1"/>
  <c r="Z162" i="1" s="1"/>
  <c r="Y151" i="1"/>
  <c r="Y152" i="1"/>
  <c r="Z168" i="1" s="1"/>
  <c r="Y145" i="1"/>
  <c r="M147" i="1"/>
  <c r="N159" i="1" s="1"/>
  <c r="M148" i="1"/>
  <c r="N160" i="1" s="1"/>
  <c r="M149" i="1"/>
  <c r="N161" i="1" s="1"/>
  <c r="M150" i="1"/>
  <c r="N162" i="1" s="1"/>
  <c r="M151" i="1"/>
  <c r="M152" i="1"/>
  <c r="N168" i="1" s="1"/>
  <c r="G147" i="1"/>
  <c r="H159" i="1" s="1"/>
  <c r="G148" i="1"/>
  <c r="H160" i="1" s="1"/>
  <c r="G151" i="1"/>
  <c r="G152" i="1"/>
  <c r="H168" i="1" s="1"/>
  <c r="S147" i="1"/>
  <c r="T159" i="1" s="1"/>
  <c r="S148" i="1"/>
  <c r="T160" i="1" s="1"/>
  <c r="S149" i="1"/>
  <c r="T161" i="1" s="1"/>
  <c r="S150" i="1"/>
  <c r="T162" i="1" s="1"/>
  <c r="S151" i="1"/>
  <c r="T167" i="1" s="1"/>
  <c r="S152" i="1"/>
  <c r="T168" i="1" s="1"/>
  <c r="S145" i="1"/>
  <c r="G145" i="1"/>
  <c r="M145" i="1"/>
  <c r="N158" i="1" s="1"/>
  <c r="S219" i="1"/>
  <c r="S220" i="1"/>
  <c r="S218" i="1"/>
  <c r="S221" i="1" s="1"/>
  <c r="R148" i="1"/>
  <c r="R149" i="1"/>
  <c r="R150" i="1"/>
  <c r="R151" i="1"/>
  <c r="R152" i="1"/>
  <c r="R153" i="1"/>
  <c r="R147" i="1"/>
  <c r="F148" i="1"/>
  <c r="F149" i="1"/>
  <c r="F150" i="1"/>
  <c r="F151" i="1"/>
  <c r="F152" i="1"/>
  <c r="F153" i="1"/>
  <c r="F147" i="1"/>
  <c r="L148" i="1"/>
  <c r="L149" i="1"/>
  <c r="L150" i="1"/>
  <c r="L151" i="1"/>
  <c r="L152" i="1"/>
  <c r="L153" i="1"/>
  <c r="L147" i="1"/>
  <c r="AC148" i="1"/>
  <c r="AC149" i="1"/>
  <c r="AC150" i="1"/>
  <c r="AC151" i="1"/>
  <c r="AC152" i="1"/>
  <c r="AC153" i="1"/>
  <c r="AC147" i="1"/>
  <c r="X148" i="1"/>
  <c r="X149" i="1"/>
  <c r="X150" i="1"/>
  <c r="X151" i="1"/>
  <c r="X152" i="1"/>
  <c r="X153" i="1"/>
  <c r="X147" i="1"/>
  <c r="AJ168" i="1" l="1"/>
  <c r="U168" i="1"/>
  <c r="G185" i="1"/>
  <c r="AJ163" i="1"/>
  <c r="AJ167" i="1"/>
  <c r="T163" i="1"/>
  <c r="AE163" i="1"/>
  <c r="AE167" i="1"/>
  <c r="Z163" i="1"/>
  <c r="Z167" i="1"/>
  <c r="N167" i="1"/>
  <c r="AQ163" i="1"/>
  <c r="AQ167" i="1"/>
  <c r="H163" i="1"/>
  <c r="H167" i="1"/>
  <c r="AQ158" i="1"/>
  <c r="AV145" i="1"/>
  <c r="AD143" i="1" l="1"/>
  <c r="AC143" i="1" s="1"/>
  <c r="AD144" i="1"/>
  <c r="AC144" i="1" s="1"/>
  <c r="Y143" i="1" l="1"/>
  <c r="Y144" i="1"/>
  <c r="S143" i="1"/>
  <c r="R143" i="1" s="1"/>
  <c r="S144" i="1"/>
  <c r="R144" i="1" s="1"/>
  <c r="M143" i="1"/>
  <c r="L143" i="1" s="1"/>
  <c r="M144" i="1"/>
  <c r="L144" i="1" s="1"/>
  <c r="I145" i="1"/>
  <c r="O145" i="1"/>
  <c r="V145" i="1"/>
  <c r="AA145" i="1"/>
  <c r="AF145" i="1"/>
  <c r="I144" i="1"/>
  <c r="O144" i="1"/>
  <c r="V144" i="1"/>
  <c r="AA144" i="1"/>
  <c r="AF144" i="1"/>
  <c r="AH144" i="1"/>
  <c r="AI144" i="1"/>
  <c r="G144" i="1"/>
  <c r="F144" i="1" s="1"/>
  <c r="G229" i="1"/>
  <c r="I229" i="1"/>
  <c r="L229" i="1"/>
  <c r="X144" i="1" l="1"/>
  <c r="Z157" i="1"/>
  <c r="X143" i="1"/>
  <c r="Z156" i="1"/>
  <c r="G228" i="1"/>
  <c r="I228" i="1"/>
  <c r="L228" i="1"/>
  <c r="G227" i="1" l="1"/>
  <c r="I227" i="1"/>
  <c r="L227" i="1"/>
  <c r="G226" i="1" l="1"/>
  <c r="I226" i="1"/>
  <c r="L226" i="1"/>
  <c r="G225" i="1" l="1"/>
  <c r="I225" i="1"/>
  <c r="L225" i="1"/>
  <c r="G223" i="1" l="1"/>
  <c r="I223" i="1"/>
  <c r="G230" i="1" l="1"/>
  <c r="I230" i="1"/>
  <c r="L230" i="1"/>
  <c r="G231" i="1"/>
  <c r="I231" i="1"/>
  <c r="L231" i="1"/>
  <c r="G232" i="1"/>
  <c r="I232" i="1"/>
  <c r="L232" i="1"/>
  <c r="N232" i="1" s="1"/>
  <c r="G221" i="1"/>
  <c r="I221" i="1"/>
  <c r="L221" i="1"/>
  <c r="G222" i="1"/>
  <c r="I222" i="1"/>
  <c r="L222" i="1"/>
  <c r="L223" i="1"/>
  <c r="G224" i="1"/>
  <c r="I224" i="1"/>
  <c r="L224" i="1"/>
  <c r="N231" i="1" l="1"/>
  <c r="G204" i="1"/>
  <c r="L204" i="1" l="1"/>
  <c r="I204" i="1"/>
  <c r="G215" i="1" l="1"/>
  <c r="I215" i="1"/>
  <c r="L215" i="1"/>
  <c r="G216" i="1"/>
  <c r="I216" i="1"/>
  <c r="L216" i="1"/>
  <c r="G217" i="1"/>
  <c r="I217" i="1"/>
  <c r="L217" i="1"/>
  <c r="G218" i="1"/>
  <c r="I218" i="1"/>
  <c r="L218" i="1"/>
  <c r="G219" i="1"/>
  <c r="I219" i="1"/>
  <c r="L219" i="1"/>
  <c r="G220" i="1"/>
  <c r="I220" i="1"/>
  <c r="L220" i="1"/>
  <c r="I211" i="1" l="1"/>
  <c r="L211" i="1"/>
  <c r="I210" i="1" l="1"/>
  <c r="S138" i="1" l="1"/>
  <c r="S139" i="1"/>
  <c r="S140" i="1"/>
  <c r="S141" i="1"/>
  <c r="S142" i="1"/>
  <c r="R142" i="1" s="1"/>
  <c r="L207" i="1" l="1"/>
  <c r="X184" i="1" l="1"/>
  <c r="AH184" i="1"/>
  <c r="AC184" i="1"/>
  <c r="AH143" i="1"/>
  <c r="AH142" i="1"/>
  <c r="AH141" i="1"/>
  <c r="AH140" i="1"/>
  <c r="AH139" i="1"/>
  <c r="AH138" i="1"/>
  <c r="G205" i="1"/>
  <c r="G209" i="1"/>
  <c r="I209" i="1"/>
  <c r="L209" i="1"/>
  <c r="G210" i="1"/>
  <c r="L210" i="1"/>
  <c r="G211" i="1"/>
  <c r="G212" i="1"/>
  <c r="I212" i="1"/>
  <c r="L212" i="1"/>
  <c r="G213" i="1"/>
  <c r="I213" i="1"/>
  <c r="L213" i="1"/>
  <c r="G214" i="1"/>
  <c r="I214" i="1"/>
  <c r="L214" i="1"/>
  <c r="L205" i="1"/>
  <c r="L206" i="1"/>
  <c r="L208" i="1"/>
  <c r="I208" i="1" l="1"/>
  <c r="G208" i="1"/>
  <c r="I207" i="1"/>
  <c r="G207" i="1"/>
  <c r="I206" i="1"/>
  <c r="G206" i="1"/>
  <c r="I205" i="1"/>
  <c r="X208" i="1" l="1"/>
  <c r="R213" i="1"/>
  <c r="Z205" i="1" s="1"/>
  <c r="N229" i="1" l="1"/>
  <c r="N224" i="1"/>
  <c r="N222" i="1"/>
  <c r="N230" i="1"/>
  <c r="N228" i="1"/>
  <c r="N223" i="1"/>
  <c r="N227" i="1"/>
  <c r="N221" i="1"/>
  <c r="N226" i="1"/>
  <c r="N225" i="1"/>
  <c r="N220" i="1"/>
  <c r="AH188" i="1"/>
  <c r="N204" i="1"/>
  <c r="N206" i="1"/>
  <c r="N205" i="1"/>
  <c r="N207" i="1"/>
  <c r="N218" i="1"/>
  <c r="N215" i="1"/>
  <c r="N219" i="1"/>
  <c r="N217" i="1"/>
  <c r="N216" i="1"/>
  <c r="N210" i="1"/>
  <c r="N209" i="1"/>
  <c r="N214" i="1"/>
  <c r="N213" i="1"/>
  <c r="N212" i="1"/>
  <c r="N211" i="1"/>
  <c r="N208" i="1"/>
  <c r="AC188" i="1"/>
  <c r="X188" i="1"/>
  <c r="AW197" i="1"/>
  <c r="AY137" i="1"/>
  <c r="AV137" i="1"/>
  <c r="Y190" i="1" l="1"/>
  <c r="AA190" i="1" s="1"/>
  <c r="AA191" i="1" s="1"/>
  <c r="AB191" i="1" s="1"/>
  <c r="AI131" i="1" l="1"/>
  <c r="AM184" i="1"/>
  <c r="AM132" i="1"/>
  <c r="AH135" i="1"/>
  <c r="AH132" i="1"/>
  <c r="AC135" i="1"/>
  <c r="AC132" i="1"/>
  <c r="X135" i="1"/>
  <c r="X132" i="1"/>
  <c r="R135" i="1"/>
  <c r="R132" i="1"/>
  <c r="L135" i="1"/>
  <c r="L132" i="1"/>
  <c r="F133" i="1"/>
  <c r="F132" i="1"/>
  <c r="AF135" i="1"/>
  <c r="AA135" i="1"/>
  <c r="V135" i="1"/>
  <c r="O135" i="1"/>
  <c r="I135" i="1"/>
  <c r="F135" i="1"/>
  <c r="F120" i="1"/>
  <c r="AL109" i="1" l="1"/>
  <c r="E123" i="1" l="1"/>
  <c r="E109" i="1"/>
  <c r="AL130" i="1"/>
  <c r="AV120" i="1"/>
  <c r="AB130" i="1"/>
  <c r="W130" i="1"/>
  <c r="Q130" i="1"/>
  <c r="K130" i="1"/>
  <c r="E130" i="1"/>
  <c r="K129" i="1"/>
  <c r="Q129" i="1"/>
  <c r="W129" i="1"/>
  <c r="AK185" i="1"/>
  <c r="AF185" i="1"/>
  <c r="AA185" i="1"/>
  <c r="V185" i="1"/>
  <c r="O185" i="1"/>
  <c r="I185" i="1"/>
  <c r="AI143" i="1"/>
  <c r="AF143" i="1"/>
  <c r="AA143" i="1"/>
  <c r="V143" i="1"/>
  <c r="O143" i="1"/>
  <c r="I143" i="1"/>
  <c r="G143" i="1"/>
  <c r="F143" i="1" s="1"/>
  <c r="AM142" i="1"/>
  <c r="AK142" i="1"/>
  <c r="AI142" i="1"/>
  <c r="AF142" i="1"/>
  <c r="AD142" i="1"/>
  <c r="AC142" i="1" s="1"/>
  <c r="AA142" i="1"/>
  <c r="Y142" i="1"/>
  <c r="V142" i="1"/>
  <c r="O142" i="1"/>
  <c r="M142" i="1"/>
  <c r="L142" i="1" s="1"/>
  <c r="I142" i="1"/>
  <c r="G142" i="1"/>
  <c r="F142" i="1" s="1"/>
  <c r="AN141" i="1"/>
  <c r="AK141" i="1"/>
  <c r="AI141" i="1"/>
  <c r="AF141" i="1"/>
  <c r="AD141" i="1"/>
  <c r="AC141" i="1" s="1"/>
  <c r="AA141" i="1"/>
  <c r="Y141" i="1"/>
  <c r="V141" i="1"/>
  <c r="R141" i="1"/>
  <c r="O141" i="1"/>
  <c r="M141" i="1"/>
  <c r="L141" i="1" s="1"/>
  <c r="I141" i="1"/>
  <c r="G141" i="1"/>
  <c r="F141" i="1" s="1"/>
  <c r="AN140" i="1"/>
  <c r="AK140" i="1"/>
  <c r="AI140" i="1"/>
  <c r="AF140" i="1"/>
  <c r="AD140" i="1"/>
  <c r="AC140" i="1" s="1"/>
  <c r="AA140" i="1"/>
  <c r="Y140" i="1"/>
  <c r="V140" i="1"/>
  <c r="R140" i="1"/>
  <c r="O140" i="1"/>
  <c r="M140" i="1"/>
  <c r="L140" i="1" s="1"/>
  <c r="I140" i="1"/>
  <c r="G140" i="1"/>
  <c r="F140" i="1" s="1"/>
  <c r="AN139" i="1"/>
  <c r="AK139" i="1"/>
  <c r="AI139" i="1"/>
  <c r="AF139" i="1"/>
  <c r="AD139" i="1"/>
  <c r="AC139" i="1" s="1"/>
  <c r="AA139" i="1"/>
  <c r="Y139" i="1"/>
  <c r="V139" i="1"/>
  <c r="R139" i="1"/>
  <c r="O139" i="1"/>
  <c r="M139" i="1"/>
  <c r="L139" i="1" s="1"/>
  <c r="I139" i="1"/>
  <c r="G139" i="1"/>
  <c r="F139" i="1" s="1"/>
  <c r="AN138" i="1"/>
  <c r="AK138" i="1"/>
  <c r="AI138" i="1"/>
  <c r="AF138" i="1"/>
  <c r="AD138" i="1"/>
  <c r="AC138" i="1" s="1"/>
  <c r="AA138" i="1"/>
  <c r="Y138" i="1"/>
  <c r="V138" i="1"/>
  <c r="O138" i="1"/>
  <c r="M138" i="1"/>
  <c r="L138" i="1" s="1"/>
  <c r="I138" i="1"/>
  <c r="G138" i="1"/>
  <c r="F138" i="1" s="1"/>
  <c r="AN137" i="1"/>
  <c r="AK137" i="1"/>
  <c r="AI137" i="1"/>
  <c r="AH137" i="1" s="1"/>
  <c r="AF137" i="1"/>
  <c r="AD137" i="1"/>
  <c r="AC137" i="1" s="1"/>
  <c r="AA137" i="1"/>
  <c r="Y137" i="1"/>
  <c r="V137" i="1"/>
  <c r="S137" i="1"/>
  <c r="R137" i="1" s="1"/>
  <c r="O137" i="1"/>
  <c r="M137" i="1"/>
  <c r="L137" i="1" s="1"/>
  <c r="I137" i="1"/>
  <c r="G137" i="1"/>
  <c r="F137" i="1" s="1"/>
  <c r="AN136" i="1"/>
  <c r="AK136" i="1"/>
  <c r="AI136" i="1"/>
  <c r="AH136" i="1" s="1"/>
  <c r="AF136" i="1"/>
  <c r="AD136" i="1"/>
  <c r="AC136" i="1" s="1"/>
  <c r="AA136" i="1"/>
  <c r="Y136" i="1"/>
  <c r="V136" i="1"/>
  <c r="S136" i="1"/>
  <c r="R136" i="1" s="1"/>
  <c r="O136" i="1"/>
  <c r="M136" i="1"/>
  <c r="L136" i="1" s="1"/>
  <c r="I136" i="1"/>
  <c r="G136" i="1"/>
  <c r="F136" i="1" s="1"/>
  <c r="AN134" i="1"/>
  <c r="AK134" i="1"/>
  <c r="AI134" i="1"/>
  <c r="AH134" i="1" s="1"/>
  <c r="AF134" i="1"/>
  <c r="AD134" i="1"/>
  <c r="AC134" i="1" s="1"/>
  <c r="AA134" i="1"/>
  <c r="Y134" i="1"/>
  <c r="V134" i="1"/>
  <c r="S134" i="1"/>
  <c r="R134" i="1" s="1"/>
  <c r="O134" i="1"/>
  <c r="M134" i="1"/>
  <c r="L134" i="1" s="1"/>
  <c r="I134" i="1"/>
  <c r="G134" i="1"/>
  <c r="F134" i="1" s="1"/>
  <c r="AN133" i="1"/>
  <c r="AQ147" i="1" s="1"/>
  <c r="AK133" i="1"/>
  <c r="AI133" i="1"/>
  <c r="AH133" i="1" s="1"/>
  <c r="AF133" i="1"/>
  <c r="AD133" i="1"/>
  <c r="AC133" i="1" s="1"/>
  <c r="AA133" i="1"/>
  <c r="Y133" i="1"/>
  <c r="V133" i="1"/>
  <c r="S133" i="1"/>
  <c r="R133" i="1" s="1"/>
  <c r="O133" i="1"/>
  <c r="M133" i="1"/>
  <c r="L133" i="1" s="1"/>
  <c r="I133" i="1"/>
  <c r="AK132" i="1"/>
  <c r="AF132" i="1"/>
  <c r="AA132" i="1"/>
  <c r="V132" i="1"/>
  <c r="O132" i="1"/>
  <c r="I132" i="1"/>
  <c r="AN131" i="1"/>
  <c r="AK131" i="1"/>
  <c r="AF131" i="1"/>
  <c r="AD131" i="1"/>
  <c r="AA131" i="1"/>
  <c r="Y131" i="1"/>
  <c r="V131" i="1"/>
  <c r="S131" i="1"/>
  <c r="O131" i="1"/>
  <c r="M131" i="1"/>
  <c r="I131" i="1"/>
  <c r="G131" i="1"/>
  <c r="AK130" i="1"/>
  <c r="AF130" i="1"/>
  <c r="AA130" i="1"/>
  <c r="V130" i="1"/>
  <c r="O130" i="1"/>
  <c r="I130" i="1"/>
  <c r="AL129" i="1"/>
  <c r="AK129" i="1"/>
  <c r="AG129" i="1"/>
  <c r="AF129" i="1"/>
  <c r="AB129" i="1"/>
  <c r="AA129" i="1"/>
  <c r="V129" i="1"/>
  <c r="O129" i="1"/>
  <c r="I129" i="1"/>
  <c r="X133" i="1" l="1"/>
  <c r="Z147" i="1"/>
  <c r="AM134" i="1"/>
  <c r="AQ148" i="1"/>
  <c r="X134" i="1"/>
  <c r="Z148" i="1"/>
  <c r="X137" i="1"/>
  <c r="Z150" i="1"/>
  <c r="X142" i="1"/>
  <c r="Z155" i="1"/>
  <c r="X139" i="1"/>
  <c r="Z152" i="1"/>
  <c r="AM141" i="1"/>
  <c r="AQ154" i="1"/>
  <c r="X136" i="1"/>
  <c r="Z149" i="1"/>
  <c r="X141" i="1"/>
  <c r="Z154" i="1"/>
  <c r="AM138" i="1"/>
  <c r="AQ151" i="1"/>
  <c r="X138" i="1"/>
  <c r="Z151" i="1"/>
  <c r="AM140" i="1"/>
  <c r="AQ153" i="1"/>
  <c r="AM139" i="1"/>
  <c r="AQ152" i="1"/>
  <c r="AM136" i="1"/>
  <c r="AQ149" i="1"/>
  <c r="AM137" i="1"/>
  <c r="AQ150" i="1"/>
  <c r="X140" i="1"/>
  <c r="Z153" i="1"/>
  <c r="AM133" i="1"/>
  <c r="AM130" i="1"/>
  <c r="AM131" i="1"/>
  <c r="G130" i="1"/>
  <c r="S130" i="1"/>
  <c r="AD130" i="1"/>
  <c r="AD185" i="1" s="1"/>
  <c r="AN130" i="1"/>
  <c r="AN185" i="1" s="1"/>
  <c r="M130" i="1"/>
  <c r="AI130" i="1"/>
  <c r="AI185" i="1" s="1"/>
  <c r="Y130" i="1"/>
  <c r="Y185" i="1" s="1"/>
  <c r="Q123" i="1"/>
  <c r="K123" i="1"/>
  <c r="F188" i="1" l="1"/>
  <c r="L188" i="1"/>
  <c r="R138" i="1"/>
  <c r="AY120" i="1"/>
  <c r="R188" i="1" l="1"/>
  <c r="H190" i="1" s="1"/>
  <c r="K190" i="1" s="1"/>
  <c r="AB123" i="1"/>
  <c r="W123" i="1"/>
  <c r="AY14" i="1"/>
  <c r="AY17" i="1"/>
  <c r="AY28" i="1"/>
  <c r="AY46" i="1"/>
  <c r="AY60" i="1"/>
  <c r="AY77" i="1"/>
  <c r="AY89" i="1"/>
  <c r="AY111" i="1"/>
  <c r="AG109" i="1"/>
  <c r="AB109" i="1"/>
  <c r="W109" i="1"/>
  <c r="Q109" i="1"/>
  <c r="K109" i="1"/>
  <c r="AG93" i="1"/>
  <c r="AB93" i="1"/>
  <c r="W93" i="1"/>
  <c r="Q93" i="1"/>
  <c r="K93" i="1"/>
  <c r="E93" i="1"/>
  <c r="AG70" i="1"/>
  <c r="AB70" i="1"/>
  <c r="W70" i="1"/>
  <c r="Q70" i="1"/>
  <c r="K70" i="1"/>
  <c r="E70" i="1"/>
  <c r="AG57" i="1"/>
  <c r="AB57" i="1"/>
  <c r="W57" i="1"/>
  <c r="Q57" i="1"/>
  <c r="K57" i="1"/>
  <c r="E57" i="1"/>
  <c r="AG40" i="1"/>
  <c r="AB40" i="1"/>
  <c r="W40" i="1"/>
  <c r="Q40" i="1"/>
  <c r="K40" i="1"/>
  <c r="E40" i="1"/>
  <c r="AB23" i="1"/>
  <c r="W23" i="1"/>
  <c r="Q23" i="1"/>
  <c r="K23" i="1"/>
  <c r="E23" i="1"/>
  <c r="I22" i="1"/>
  <c r="AK39" i="1"/>
  <c r="AA39" i="1"/>
  <c r="V39" i="1"/>
  <c r="O39" i="1"/>
  <c r="I39" i="1"/>
  <c r="AK56" i="1"/>
  <c r="AA56" i="1"/>
  <c r="V56" i="1"/>
  <c r="O56" i="1"/>
  <c r="I56" i="1"/>
  <c r="AK69" i="1"/>
  <c r="AA69" i="1"/>
  <c r="V69" i="1"/>
  <c r="O69" i="1"/>
  <c r="I69" i="1"/>
  <c r="F94" i="1"/>
  <c r="AK108" i="1"/>
  <c r="AF108" i="1"/>
  <c r="AA108" i="1"/>
  <c r="V108" i="1"/>
  <c r="O108" i="1"/>
  <c r="I108" i="1"/>
  <c r="AK121" i="1"/>
  <c r="AF121" i="1"/>
  <c r="AA121" i="1"/>
  <c r="V121" i="1"/>
  <c r="O121" i="1"/>
  <c r="I121" i="1"/>
  <c r="AK120" i="1"/>
  <c r="AF120" i="1"/>
  <c r="AA120" i="1"/>
  <c r="V120" i="1"/>
  <c r="O120" i="1"/>
  <c r="I120" i="1"/>
  <c r="AN119" i="1"/>
  <c r="AQ143" i="1" s="1"/>
  <c r="AK119" i="1"/>
  <c r="AI119" i="1"/>
  <c r="AJ143" i="1" s="1"/>
  <c r="AJ156" i="1" s="1"/>
  <c r="AF119" i="1"/>
  <c r="AD119" i="1"/>
  <c r="AE143" i="1" s="1"/>
  <c r="AE156" i="1" s="1"/>
  <c r="AA119" i="1"/>
  <c r="Y119" i="1"/>
  <c r="Z143" i="1" s="1"/>
  <c r="V119" i="1"/>
  <c r="S119" i="1"/>
  <c r="T143" i="1" s="1"/>
  <c r="T156" i="1" s="1"/>
  <c r="O119" i="1"/>
  <c r="M119" i="1"/>
  <c r="N143" i="1" s="1"/>
  <c r="N156" i="1" s="1"/>
  <c r="I119" i="1"/>
  <c r="G119" i="1"/>
  <c r="AN118" i="1"/>
  <c r="AQ142" i="1" s="1"/>
  <c r="AK118" i="1"/>
  <c r="AI118" i="1"/>
  <c r="AJ142" i="1" s="1"/>
  <c r="AJ155" i="1" s="1"/>
  <c r="AF118" i="1"/>
  <c r="AD118" i="1"/>
  <c r="AE142" i="1" s="1"/>
  <c r="AE155" i="1" s="1"/>
  <c r="AA118" i="1"/>
  <c r="Y118" i="1"/>
  <c r="Z142" i="1" s="1"/>
  <c r="V118" i="1"/>
  <c r="S118" i="1"/>
  <c r="T142" i="1" s="1"/>
  <c r="T155" i="1" s="1"/>
  <c r="O118" i="1"/>
  <c r="M118" i="1"/>
  <c r="N142" i="1" s="1"/>
  <c r="N155" i="1" s="1"/>
  <c r="I118" i="1"/>
  <c r="G118" i="1"/>
  <c r="H142" i="1" s="1"/>
  <c r="H155" i="1" s="1"/>
  <c r="AN117" i="1"/>
  <c r="AQ141" i="1" s="1"/>
  <c r="AK117" i="1"/>
  <c r="AI117" i="1"/>
  <c r="AJ141" i="1" s="1"/>
  <c r="AF117" i="1"/>
  <c r="AD117" i="1"/>
  <c r="AE141" i="1" s="1"/>
  <c r="AA117" i="1"/>
  <c r="Y117" i="1"/>
  <c r="Z141" i="1" s="1"/>
  <c r="V117" i="1"/>
  <c r="S117" i="1"/>
  <c r="T141" i="1" s="1"/>
  <c r="O117" i="1"/>
  <c r="M117" i="1"/>
  <c r="N141" i="1" s="1"/>
  <c r="I117" i="1"/>
  <c r="G117" i="1"/>
  <c r="H141" i="1" s="1"/>
  <c r="AN116" i="1"/>
  <c r="AQ140" i="1" s="1"/>
  <c r="AK116" i="1"/>
  <c r="AI116" i="1"/>
  <c r="AJ140" i="1" s="1"/>
  <c r="AJ153" i="1" s="1"/>
  <c r="AF116" i="1"/>
  <c r="AD116" i="1"/>
  <c r="AE140" i="1" s="1"/>
  <c r="AE153" i="1" s="1"/>
  <c r="AA116" i="1"/>
  <c r="Y116" i="1"/>
  <c r="Z140" i="1" s="1"/>
  <c r="V116" i="1"/>
  <c r="S116" i="1"/>
  <c r="T140" i="1" s="1"/>
  <c r="T153" i="1" s="1"/>
  <c r="O116" i="1"/>
  <c r="M116" i="1"/>
  <c r="N140" i="1" s="1"/>
  <c r="N153" i="1" s="1"/>
  <c r="I116" i="1"/>
  <c r="G116" i="1"/>
  <c r="H140" i="1" s="1"/>
  <c r="H153" i="1" s="1"/>
  <c r="AN115" i="1"/>
  <c r="AQ139" i="1" s="1"/>
  <c r="AK115" i="1"/>
  <c r="AI115" i="1"/>
  <c r="AJ139" i="1" s="1"/>
  <c r="AJ152" i="1" s="1"/>
  <c r="AF115" i="1"/>
  <c r="AD115" i="1"/>
  <c r="AE139" i="1" s="1"/>
  <c r="AE152" i="1" s="1"/>
  <c r="AA115" i="1"/>
  <c r="Y115" i="1"/>
  <c r="Z139" i="1" s="1"/>
  <c r="V115" i="1"/>
  <c r="S115" i="1"/>
  <c r="T139" i="1" s="1"/>
  <c r="T152" i="1" s="1"/>
  <c r="O115" i="1"/>
  <c r="M115" i="1"/>
  <c r="N139" i="1" s="1"/>
  <c r="N152" i="1" s="1"/>
  <c r="I115" i="1"/>
  <c r="G115" i="1"/>
  <c r="H139" i="1" s="1"/>
  <c r="H152" i="1" s="1"/>
  <c r="AN114" i="1"/>
  <c r="AQ138" i="1" s="1"/>
  <c r="AK114" i="1"/>
  <c r="AI114" i="1"/>
  <c r="AJ138" i="1" s="1"/>
  <c r="AJ151" i="1" s="1"/>
  <c r="AF114" i="1"/>
  <c r="AD114" i="1"/>
  <c r="AE138" i="1" s="1"/>
  <c r="AE151" i="1" s="1"/>
  <c r="AA114" i="1"/>
  <c r="Y114" i="1"/>
  <c r="Z138" i="1" s="1"/>
  <c r="V114" i="1"/>
  <c r="S114" i="1"/>
  <c r="T138" i="1" s="1"/>
  <c r="T151" i="1" s="1"/>
  <c r="O114" i="1"/>
  <c r="M114" i="1"/>
  <c r="N138" i="1" s="1"/>
  <c r="N151" i="1" s="1"/>
  <c r="I114" i="1"/>
  <c r="G114" i="1"/>
  <c r="H138" i="1" s="1"/>
  <c r="H151" i="1" s="1"/>
  <c r="AN113" i="1"/>
  <c r="AQ137" i="1" s="1"/>
  <c r="AK113" i="1"/>
  <c r="AI113" i="1"/>
  <c r="AJ137" i="1" s="1"/>
  <c r="AJ150" i="1" s="1"/>
  <c r="AF113" i="1"/>
  <c r="AD113" i="1"/>
  <c r="AE137" i="1" s="1"/>
  <c r="AE150" i="1" s="1"/>
  <c r="AA113" i="1"/>
  <c r="Y113" i="1"/>
  <c r="Z137" i="1" s="1"/>
  <c r="V113" i="1"/>
  <c r="S113" i="1"/>
  <c r="T137" i="1" s="1"/>
  <c r="T150" i="1" s="1"/>
  <c r="O113" i="1"/>
  <c r="M113" i="1"/>
  <c r="N137" i="1" s="1"/>
  <c r="N150" i="1" s="1"/>
  <c r="I113" i="1"/>
  <c r="G113" i="1"/>
  <c r="H137" i="1" s="1"/>
  <c r="H150" i="1" s="1"/>
  <c r="AN112" i="1"/>
  <c r="AQ136" i="1" s="1"/>
  <c r="AK112" i="1"/>
  <c r="AI112" i="1"/>
  <c r="AJ136" i="1" s="1"/>
  <c r="AJ149" i="1" s="1"/>
  <c r="AF112" i="1"/>
  <c r="AD112" i="1"/>
  <c r="AE136" i="1" s="1"/>
  <c r="AE149" i="1" s="1"/>
  <c r="AA112" i="1"/>
  <c r="Y112" i="1"/>
  <c r="Z136" i="1" s="1"/>
  <c r="V112" i="1"/>
  <c r="S112" i="1"/>
  <c r="T136" i="1" s="1"/>
  <c r="T149" i="1" s="1"/>
  <c r="O112" i="1"/>
  <c r="M112" i="1"/>
  <c r="N136" i="1" s="1"/>
  <c r="N149" i="1" s="1"/>
  <c r="I112" i="1"/>
  <c r="G112" i="1"/>
  <c r="H136" i="1" s="1"/>
  <c r="H149" i="1" s="1"/>
  <c r="AN111" i="1"/>
  <c r="AQ134" i="1" s="1"/>
  <c r="AK111" i="1"/>
  <c r="AI111" i="1"/>
  <c r="AJ134" i="1" s="1"/>
  <c r="AJ148" i="1" s="1"/>
  <c r="AF111" i="1"/>
  <c r="AD111" i="1"/>
  <c r="AE134" i="1" s="1"/>
  <c r="AE148" i="1" s="1"/>
  <c r="AA111" i="1"/>
  <c r="Y111" i="1"/>
  <c r="Z134" i="1" s="1"/>
  <c r="V111" i="1"/>
  <c r="S111" i="1"/>
  <c r="T134" i="1" s="1"/>
  <c r="T148" i="1" s="1"/>
  <c r="O111" i="1"/>
  <c r="M111" i="1"/>
  <c r="N134" i="1" s="1"/>
  <c r="N148" i="1" s="1"/>
  <c r="I111" i="1"/>
  <c r="G111" i="1"/>
  <c r="AN110" i="1"/>
  <c r="AK110" i="1"/>
  <c r="AI110" i="1"/>
  <c r="AF110" i="1"/>
  <c r="AD110" i="1"/>
  <c r="AA110" i="1"/>
  <c r="Y110" i="1"/>
  <c r="V110" i="1"/>
  <c r="S110" i="1"/>
  <c r="O110" i="1"/>
  <c r="M110" i="1"/>
  <c r="I110" i="1"/>
  <c r="G110" i="1"/>
  <c r="H133" i="1" s="1"/>
  <c r="H147" i="1" s="1"/>
  <c r="AN107" i="1"/>
  <c r="AQ131" i="1" s="1"/>
  <c r="AK107" i="1"/>
  <c r="AI107" i="1"/>
  <c r="AJ131" i="1" s="1"/>
  <c r="AF107" i="1"/>
  <c r="AD107" i="1"/>
  <c r="AE131" i="1" s="1"/>
  <c r="AA107" i="1"/>
  <c r="Y107" i="1"/>
  <c r="Z131" i="1" s="1"/>
  <c r="V107" i="1"/>
  <c r="S107" i="1"/>
  <c r="T131" i="1" s="1"/>
  <c r="O107" i="1"/>
  <c r="M107" i="1"/>
  <c r="N131" i="1" s="1"/>
  <c r="I107" i="1"/>
  <c r="G107" i="1"/>
  <c r="H131" i="1" s="1"/>
  <c r="AL106" i="1"/>
  <c r="AK106" i="1"/>
  <c r="AG106" i="1"/>
  <c r="AF106" i="1"/>
  <c r="AB106" i="1"/>
  <c r="AA106" i="1"/>
  <c r="W106" i="1"/>
  <c r="V106" i="1"/>
  <c r="Q106" i="1"/>
  <c r="O106" i="1"/>
  <c r="K106" i="1"/>
  <c r="I106" i="1"/>
  <c r="E106" i="1"/>
  <c r="G106" i="1" s="1"/>
  <c r="H130" i="1" s="1"/>
  <c r="AL105" i="1"/>
  <c r="AK105" i="1"/>
  <c r="AG105" i="1"/>
  <c r="AF105" i="1"/>
  <c r="AB105" i="1"/>
  <c r="AA105" i="1"/>
  <c r="W105" i="1"/>
  <c r="V105" i="1"/>
  <c r="Q105" i="1"/>
  <c r="O105" i="1"/>
  <c r="K105" i="1"/>
  <c r="I105" i="1"/>
  <c r="AL88" i="1"/>
  <c r="AG88" i="1"/>
  <c r="AB88" i="1"/>
  <c r="W88" i="1"/>
  <c r="Q88" i="1"/>
  <c r="K88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8" i="1"/>
  <c r="AK59" i="1"/>
  <c r="AK60" i="1"/>
  <c r="AK61" i="1"/>
  <c r="AK62" i="1"/>
  <c r="AK63" i="1"/>
  <c r="AK64" i="1"/>
  <c r="AK65" i="1"/>
  <c r="AK66" i="1"/>
  <c r="AK67" i="1"/>
  <c r="AK68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2" i="1"/>
  <c r="AK90" i="1"/>
  <c r="AK91" i="1"/>
  <c r="AK94" i="1"/>
  <c r="AK95" i="1"/>
  <c r="AK96" i="1"/>
  <c r="AK97" i="1"/>
  <c r="AK98" i="1"/>
  <c r="AK99" i="1"/>
  <c r="AK100" i="1"/>
  <c r="AK101" i="1"/>
  <c r="AK102" i="1"/>
  <c r="AK103" i="1"/>
  <c r="AK104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8" i="1"/>
  <c r="AF59" i="1"/>
  <c r="AF60" i="1"/>
  <c r="AF61" i="1"/>
  <c r="AF62" i="1"/>
  <c r="AF63" i="1"/>
  <c r="AF64" i="1"/>
  <c r="AF65" i="1"/>
  <c r="AF66" i="1"/>
  <c r="AF67" i="1"/>
  <c r="AF68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2" i="1"/>
  <c r="AF90" i="1"/>
  <c r="AF91" i="1"/>
  <c r="AF94" i="1"/>
  <c r="AF95" i="1"/>
  <c r="AF96" i="1"/>
  <c r="AF97" i="1"/>
  <c r="AF98" i="1"/>
  <c r="AF99" i="1"/>
  <c r="AF100" i="1"/>
  <c r="AF101" i="1"/>
  <c r="AF102" i="1"/>
  <c r="AF103" i="1"/>
  <c r="AF104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8" i="1"/>
  <c r="AA59" i="1"/>
  <c r="AA60" i="1"/>
  <c r="AA61" i="1"/>
  <c r="AA62" i="1"/>
  <c r="AA63" i="1"/>
  <c r="AA64" i="1"/>
  <c r="AA65" i="1"/>
  <c r="AA66" i="1"/>
  <c r="AA67" i="1"/>
  <c r="AA68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2" i="1"/>
  <c r="AA90" i="1"/>
  <c r="AA91" i="1"/>
  <c r="AA94" i="1"/>
  <c r="AA95" i="1"/>
  <c r="AA96" i="1"/>
  <c r="AA97" i="1"/>
  <c r="AA98" i="1"/>
  <c r="AA99" i="1"/>
  <c r="AA100" i="1"/>
  <c r="AA101" i="1"/>
  <c r="AA102" i="1"/>
  <c r="AA103" i="1"/>
  <c r="AA10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8" i="1"/>
  <c r="V59" i="1"/>
  <c r="V60" i="1"/>
  <c r="V61" i="1"/>
  <c r="V62" i="1"/>
  <c r="V63" i="1"/>
  <c r="V64" i="1"/>
  <c r="V65" i="1"/>
  <c r="V66" i="1"/>
  <c r="V67" i="1"/>
  <c r="V68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2" i="1"/>
  <c r="V90" i="1"/>
  <c r="V91" i="1"/>
  <c r="V94" i="1"/>
  <c r="V95" i="1"/>
  <c r="V96" i="1"/>
  <c r="V97" i="1"/>
  <c r="V98" i="1"/>
  <c r="V99" i="1"/>
  <c r="V100" i="1"/>
  <c r="V101" i="1"/>
  <c r="V102" i="1"/>
  <c r="V103" i="1"/>
  <c r="V10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8" i="1"/>
  <c r="O59" i="1"/>
  <c r="O60" i="1"/>
  <c r="O61" i="1"/>
  <c r="O62" i="1"/>
  <c r="O63" i="1"/>
  <c r="O64" i="1"/>
  <c r="O65" i="1"/>
  <c r="O66" i="1"/>
  <c r="O67" i="1"/>
  <c r="O68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2" i="1"/>
  <c r="O90" i="1"/>
  <c r="O91" i="1"/>
  <c r="O94" i="1"/>
  <c r="O95" i="1"/>
  <c r="O96" i="1"/>
  <c r="O97" i="1"/>
  <c r="O98" i="1"/>
  <c r="O99" i="1"/>
  <c r="O100" i="1"/>
  <c r="O101" i="1"/>
  <c r="O102" i="1"/>
  <c r="O103" i="1"/>
  <c r="O104" i="1"/>
  <c r="AK5" i="1"/>
  <c r="AF5" i="1"/>
  <c r="AA5" i="1"/>
  <c r="V5" i="1"/>
  <c r="O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8" i="1"/>
  <c r="I59" i="1"/>
  <c r="I60" i="1"/>
  <c r="I61" i="1"/>
  <c r="I62" i="1"/>
  <c r="I63" i="1"/>
  <c r="I64" i="1"/>
  <c r="I65" i="1"/>
  <c r="I66" i="1"/>
  <c r="I67" i="1"/>
  <c r="I68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2" i="1"/>
  <c r="I90" i="1"/>
  <c r="I91" i="1"/>
  <c r="I94" i="1"/>
  <c r="I95" i="1"/>
  <c r="I96" i="1"/>
  <c r="I97" i="1"/>
  <c r="I98" i="1"/>
  <c r="I99" i="1"/>
  <c r="I100" i="1"/>
  <c r="I101" i="1"/>
  <c r="I102" i="1"/>
  <c r="I103" i="1"/>
  <c r="I104" i="1"/>
  <c r="I5" i="1"/>
  <c r="AN102" i="1"/>
  <c r="AN85" i="1"/>
  <c r="AN68" i="1"/>
  <c r="AN51" i="1"/>
  <c r="AN34" i="1"/>
  <c r="AN17" i="1"/>
  <c r="AM17" i="1"/>
  <c r="AN101" i="1"/>
  <c r="AN84" i="1"/>
  <c r="AN67" i="1"/>
  <c r="AN50" i="1"/>
  <c r="AN33" i="1"/>
  <c r="AN16" i="1"/>
  <c r="AM16" i="1"/>
  <c r="AN100" i="1"/>
  <c r="AN83" i="1"/>
  <c r="AN66" i="1"/>
  <c r="AN49" i="1"/>
  <c r="AN32" i="1"/>
  <c r="AN15" i="1"/>
  <c r="AM15" i="1"/>
  <c r="AN99" i="1"/>
  <c r="AN82" i="1"/>
  <c r="AN65" i="1"/>
  <c r="AN48" i="1"/>
  <c r="AN31" i="1"/>
  <c r="AN14" i="1"/>
  <c r="AM14" i="1"/>
  <c r="AN98" i="1"/>
  <c r="AN81" i="1"/>
  <c r="AN64" i="1"/>
  <c r="AN47" i="1"/>
  <c r="AN30" i="1"/>
  <c r="AN13" i="1"/>
  <c r="AM13" i="1"/>
  <c r="AN97" i="1"/>
  <c r="AN80" i="1"/>
  <c r="AN63" i="1"/>
  <c r="AN46" i="1"/>
  <c r="AN29" i="1"/>
  <c r="AN12" i="1"/>
  <c r="AM12" i="1"/>
  <c r="AN96" i="1"/>
  <c r="AN79" i="1"/>
  <c r="AN62" i="1"/>
  <c r="AN45" i="1"/>
  <c r="AN28" i="1"/>
  <c r="AN11" i="1"/>
  <c r="AM11" i="1"/>
  <c r="AN95" i="1"/>
  <c r="AN78" i="1"/>
  <c r="AN61" i="1"/>
  <c r="AN44" i="1"/>
  <c r="AN27" i="1"/>
  <c r="AN10" i="1"/>
  <c r="AM10" i="1"/>
  <c r="AN94" i="1"/>
  <c r="AN77" i="1"/>
  <c r="AN60" i="1"/>
  <c r="AN43" i="1"/>
  <c r="AN26" i="1"/>
  <c r="AN9" i="1"/>
  <c r="AM9" i="1"/>
  <c r="AN91" i="1"/>
  <c r="AN76" i="1"/>
  <c r="AN59" i="1"/>
  <c r="AN42" i="1"/>
  <c r="AN25" i="1"/>
  <c r="AN8" i="1"/>
  <c r="AM8" i="1"/>
  <c r="AN90" i="1"/>
  <c r="AN75" i="1"/>
  <c r="AN58" i="1"/>
  <c r="AN41" i="1"/>
  <c r="AN24" i="1"/>
  <c r="AN7" i="1"/>
  <c r="AM7" i="1"/>
  <c r="AN6" i="1"/>
  <c r="AM6" i="1"/>
  <c r="AL89" i="1"/>
  <c r="AM101" i="1" s="1"/>
  <c r="AL74" i="1"/>
  <c r="AM85" i="1" s="1"/>
  <c r="AL55" i="1"/>
  <c r="AN55" i="1" s="1"/>
  <c r="AL38" i="1"/>
  <c r="AM50" i="1" s="1"/>
  <c r="AL21" i="1"/>
  <c r="AN21" i="1" s="1"/>
  <c r="AI102" i="1"/>
  <c r="AI85" i="1"/>
  <c r="AI68" i="1"/>
  <c r="AI51" i="1"/>
  <c r="AI34" i="1"/>
  <c r="AH34" i="1"/>
  <c r="AI101" i="1"/>
  <c r="AI84" i="1"/>
  <c r="AI67" i="1"/>
  <c r="AI50" i="1"/>
  <c r="AI33" i="1"/>
  <c r="AH33" i="1"/>
  <c r="AI100" i="1"/>
  <c r="AI83" i="1"/>
  <c r="AI66" i="1"/>
  <c r="AI49" i="1"/>
  <c r="AI32" i="1"/>
  <c r="AH32" i="1"/>
  <c r="AI99" i="1"/>
  <c r="AI82" i="1"/>
  <c r="AI65" i="1"/>
  <c r="AI48" i="1"/>
  <c r="AI31" i="1"/>
  <c r="AH31" i="1"/>
  <c r="AI98" i="1"/>
  <c r="AI81" i="1"/>
  <c r="AI64" i="1"/>
  <c r="AI47" i="1"/>
  <c r="AI30" i="1"/>
  <c r="AH30" i="1"/>
  <c r="AI97" i="1"/>
  <c r="AI80" i="1"/>
  <c r="AI63" i="1"/>
  <c r="AI46" i="1"/>
  <c r="AI29" i="1"/>
  <c r="AH29" i="1"/>
  <c r="AI96" i="1"/>
  <c r="AI79" i="1"/>
  <c r="AI62" i="1"/>
  <c r="AI45" i="1"/>
  <c r="AI28" i="1"/>
  <c r="AH28" i="1"/>
  <c r="AI95" i="1"/>
  <c r="AI78" i="1"/>
  <c r="AI61" i="1"/>
  <c r="AI44" i="1"/>
  <c r="AI27" i="1"/>
  <c r="AH27" i="1"/>
  <c r="AI94" i="1"/>
  <c r="AI77" i="1"/>
  <c r="AI60" i="1"/>
  <c r="AI43" i="1"/>
  <c r="AI26" i="1"/>
  <c r="AH26" i="1"/>
  <c r="AI91" i="1"/>
  <c r="AI76" i="1"/>
  <c r="AI59" i="1"/>
  <c r="AI42" i="1"/>
  <c r="AI25" i="1"/>
  <c r="AH25" i="1"/>
  <c r="AI90" i="1"/>
  <c r="AI75" i="1"/>
  <c r="AI58" i="1"/>
  <c r="AI41" i="1"/>
  <c r="AI24" i="1"/>
  <c r="AH24" i="1"/>
  <c r="AG89" i="1"/>
  <c r="AH100" i="1" s="1"/>
  <c r="AG74" i="1"/>
  <c r="AH78" i="1" s="1"/>
  <c r="AG55" i="1"/>
  <c r="AI55" i="1" s="1"/>
  <c r="AG38" i="1"/>
  <c r="AH48" i="1" s="1"/>
  <c r="AI21" i="1"/>
  <c r="AH21" i="1"/>
  <c r="AD102" i="1"/>
  <c r="AD85" i="1"/>
  <c r="AD68" i="1"/>
  <c r="AD51" i="1"/>
  <c r="AD34" i="1"/>
  <c r="AD17" i="1"/>
  <c r="AC17" i="1"/>
  <c r="AD101" i="1"/>
  <c r="AD84" i="1"/>
  <c r="AD67" i="1"/>
  <c r="AD50" i="1"/>
  <c r="AD33" i="1"/>
  <c r="AD16" i="1"/>
  <c r="AC16" i="1"/>
  <c r="AD100" i="1"/>
  <c r="AD83" i="1"/>
  <c r="AD66" i="1"/>
  <c r="AD49" i="1"/>
  <c r="AD32" i="1"/>
  <c r="AD15" i="1"/>
  <c r="AC15" i="1"/>
  <c r="AD99" i="1"/>
  <c r="AD82" i="1"/>
  <c r="AD65" i="1"/>
  <c r="AD48" i="1"/>
  <c r="AD31" i="1"/>
  <c r="AD14" i="1"/>
  <c r="AC14" i="1"/>
  <c r="AD98" i="1"/>
  <c r="AD81" i="1"/>
  <c r="AD64" i="1"/>
  <c r="AD47" i="1"/>
  <c r="AD30" i="1"/>
  <c r="AD13" i="1"/>
  <c r="AC13" i="1"/>
  <c r="AD97" i="1"/>
  <c r="AD80" i="1"/>
  <c r="AD63" i="1"/>
  <c r="AD46" i="1"/>
  <c r="AD29" i="1"/>
  <c r="AD12" i="1"/>
  <c r="AC12" i="1"/>
  <c r="AD96" i="1"/>
  <c r="AD79" i="1"/>
  <c r="AD62" i="1"/>
  <c r="AD45" i="1"/>
  <c r="AD28" i="1"/>
  <c r="AD11" i="1"/>
  <c r="AC11" i="1"/>
  <c r="AD95" i="1"/>
  <c r="AD78" i="1"/>
  <c r="AD61" i="1"/>
  <c r="AD44" i="1"/>
  <c r="AD27" i="1"/>
  <c r="AD10" i="1"/>
  <c r="AC10" i="1"/>
  <c r="AD94" i="1"/>
  <c r="AD77" i="1"/>
  <c r="AD60" i="1"/>
  <c r="AD43" i="1"/>
  <c r="AD26" i="1"/>
  <c r="AD9" i="1"/>
  <c r="AC9" i="1"/>
  <c r="AD91" i="1"/>
  <c r="AD76" i="1"/>
  <c r="AD59" i="1"/>
  <c r="AD42" i="1"/>
  <c r="AD25" i="1"/>
  <c r="AD8" i="1"/>
  <c r="AC8" i="1"/>
  <c r="AD90" i="1"/>
  <c r="AD75" i="1"/>
  <c r="AD58" i="1"/>
  <c r="AD41" i="1"/>
  <c r="AD24" i="1"/>
  <c r="AD7" i="1"/>
  <c r="AC7" i="1"/>
  <c r="AB89" i="1"/>
  <c r="AC102" i="1" s="1"/>
  <c r="AB74" i="1"/>
  <c r="AC85" i="1" s="1"/>
  <c r="AB55" i="1"/>
  <c r="AC68" i="1" s="1"/>
  <c r="AB38" i="1"/>
  <c r="AC38" i="1" s="1"/>
  <c r="AB21" i="1"/>
  <c r="AC32" i="1" s="1"/>
  <c r="AD5" i="1"/>
  <c r="AC5" i="1"/>
  <c r="Y102" i="1"/>
  <c r="Y85" i="1"/>
  <c r="Y68" i="1"/>
  <c r="Y51" i="1"/>
  <c r="Y34" i="1"/>
  <c r="Y17" i="1"/>
  <c r="X17" i="1"/>
  <c r="Y101" i="1"/>
  <c r="Y84" i="1"/>
  <c r="Y67" i="1"/>
  <c r="Y50" i="1"/>
  <c r="Y33" i="1"/>
  <c r="Y16" i="1"/>
  <c r="X16" i="1"/>
  <c r="Y100" i="1"/>
  <c r="Y83" i="1"/>
  <c r="Y66" i="1"/>
  <c r="Y49" i="1"/>
  <c r="Y32" i="1"/>
  <c r="Y15" i="1"/>
  <c r="X15" i="1"/>
  <c r="Y99" i="1"/>
  <c r="Y82" i="1"/>
  <c r="Y65" i="1"/>
  <c r="Y48" i="1"/>
  <c r="Y31" i="1"/>
  <c r="Y14" i="1"/>
  <c r="X14" i="1"/>
  <c r="Y98" i="1"/>
  <c r="Y81" i="1"/>
  <c r="Y64" i="1"/>
  <c r="Y47" i="1"/>
  <c r="Y30" i="1"/>
  <c r="Y13" i="1"/>
  <c r="X13" i="1"/>
  <c r="Y97" i="1"/>
  <c r="Y80" i="1"/>
  <c r="Y63" i="1"/>
  <c r="Y46" i="1"/>
  <c r="Y29" i="1"/>
  <c r="Y12" i="1"/>
  <c r="X12" i="1"/>
  <c r="Y96" i="1"/>
  <c r="Y79" i="1"/>
  <c r="Y62" i="1"/>
  <c r="Y45" i="1"/>
  <c r="Y28" i="1"/>
  <c r="Y11" i="1"/>
  <c r="X11" i="1"/>
  <c r="Y95" i="1"/>
  <c r="Y78" i="1"/>
  <c r="Y61" i="1"/>
  <c r="Y44" i="1"/>
  <c r="Y27" i="1"/>
  <c r="Y10" i="1"/>
  <c r="X10" i="1"/>
  <c r="Y94" i="1"/>
  <c r="Y77" i="1"/>
  <c r="Y60" i="1"/>
  <c r="Y43" i="1"/>
  <c r="Y26" i="1"/>
  <c r="Y9" i="1"/>
  <c r="X9" i="1"/>
  <c r="Y91" i="1"/>
  <c r="Y76" i="1"/>
  <c r="Y59" i="1"/>
  <c r="Y42" i="1"/>
  <c r="Y25" i="1"/>
  <c r="Y8" i="1"/>
  <c r="X8" i="1"/>
  <c r="Y90" i="1"/>
  <c r="Y75" i="1"/>
  <c r="Y58" i="1"/>
  <c r="Y41" i="1"/>
  <c r="Y24" i="1"/>
  <c r="Y7" i="1"/>
  <c r="X7" i="1"/>
  <c r="W89" i="1"/>
  <c r="X101" i="1" s="1"/>
  <c r="W74" i="1"/>
  <c r="X84" i="1" s="1"/>
  <c r="W55" i="1"/>
  <c r="X68" i="1" s="1"/>
  <c r="W38" i="1"/>
  <c r="Y38" i="1" s="1"/>
  <c r="W21" i="1"/>
  <c r="X33" i="1" s="1"/>
  <c r="Y5" i="1"/>
  <c r="X5" i="1"/>
  <c r="S102" i="1"/>
  <c r="S85" i="1"/>
  <c r="S68" i="1"/>
  <c r="S51" i="1"/>
  <c r="S34" i="1"/>
  <c r="S17" i="1"/>
  <c r="R17" i="1"/>
  <c r="S101" i="1"/>
  <c r="S84" i="1"/>
  <c r="S67" i="1"/>
  <c r="S50" i="1"/>
  <c r="S33" i="1"/>
  <c r="S16" i="1"/>
  <c r="R16" i="1"/>
  <c r="S100" i="1"/>
  <c r="S83" i="1"/>
  <c r="S66" i="1"/>
  <c r="S49" i="1"/>
  <c r="S32" i="1"/>
  <c r="S15" i="1"/>
  <c r="R15" i="1"/>
  <c r="S99" i="1"/>
  <c r="S82" i="1"/>
  <c r="S65" i="1"/>
  <c r="S48" i="1"/>
  <c r="S31" i="1"/>
  <c r="S14" i="1"/>
  <c r="R14" i="1"/>
  <c r="S98" i="1"/>
  <c r="S81" i="1"/>
  <c r="S64" i="1"/>
  <c r="S47" i="1"/>
  <c r="S30" i="1"/>
  <c r="S13" i="1"/>
  <c r="R13" i="1"/>
  <c r="S97" i="1"/>
  <c r="S80" i="1"/>
  <c r="S63" i="1"/>
  <c r="S46" i="1"/>
  <c r="S29" i="1"/>
  <c r="S12" i="1"/>
  <c r="R12" i="1"/>
  <c r="S96" i="1"/>
  <c r="S79" i="1"/>
  <c r="S62" i="1"/>
  <c r="S45" i="1"/>
  <c r="S28" i="1"/>
  <c r="S11" i="1"/>
  <c r="R11" i="1"/>
  <c r="S95" i="1"/>
  <c r="S78" i="1"/>
  <c r="S61" i="1"/>
  <c r="S44" i="1"/>
  <c r="S27" i="1"/>
  <c r="S10" i="1"/>
  <c r="R10" i="1"/>
  <c r="S94" i="1"/>
  <c r="S77" i="1"/>
  <c r="S60" i="1"/>
  <c r="S43" i="1"/>
  <c r="S26" i="1"/>
  <c r="S9" i="1"/>
  <c r="R9" i="1"/>
  <c r="S91" i="1"/>
  <c r="S76" i="1"/>
  <c r="S59" i="1"/>
  <c r="S42" i="1"/>
  <c r="S25" i="1"/>
  <c r="S8" i="1"/>
  <c r="R8" i="1"/>
  <c r="S90" i="1"/>
  <c r="S75" i="1"/>
  <c r="S58" i="1"/>
  <c r="S41" i="1"/>
  <c r="S24" i="1"/>
  <c r="S7" i="1"/>
  <c r="R7" i="1"/>
  <c r="Q89" i="1"/>
  <c r="S89" i="1" s="1"/>
  <c r="Q74" i="1"/>
  <c r="R85" i="1" s="1"/>
  <c r="Q55" i="1"/>
  <c r="R55" i="1" s="1"/>
  <c r="Q38" i="1"/>
  <c r="R50" i="1" s="1"/>
  <c r="Q21" i="1"/>
  <c r="R33" i="1" s="1"/>
  <c r="S5" i="1"/>
  <c r="R5" i="1"/>
  <c r="M102" i="1"/>
  <c r="M85" i="1"/>
  <c r="M68" i="1"/>
  <c r="M51" i="1"/>
  <c r="M34" i="1"/>
  <c r="M17" i="1"/>
  <c r="L17" i="1"/>
  <c r="M101" i="1"/>
  <c r="M84" i="1"/>
  <c r="M67" i="1"/>
  <c r="M50" i="1"/>
  <c r="M33" i="1"/>
  <c r="M16" i="1"/>
  <c r="L16" i="1"/>
  <c r="M100" i="1"/>
  <c r="M83" i="1"/>
  <c r="M66" i="1"/>
  <c r="M49" i="1"/>
  <c r="M32" i="1"/>
  <c r="M15" i="1"/>
  <c r="L15" i="1"/>
  <c r="M99" i="1"/>
  <c r="M82" i="1"/>
  <c r="M65" i="1"/>
  <c r="M48" i="1"/>
  <c r="M31" i="1"/>
  <c r="M14" i="1"/>
  <c r="L14" i="1"/>
  <c r="M98" i="1"/>
  <c r="M81" i="1"/>
  <c r="M64" i="1"/>
  <c r="M47" i="1"/>
  <c r="M30" i="1"/>
  <c r="M13" i="1"/>
  <c r="L13" i="1"/>
  <c r="M97" i="1"/>
  <c r="M80" i="1"/>
  <c r="M63" i="1"/>
  <c r="M46" i="1"/>
  <c r="M29" i="1"/>
  <c r="M12" i="1"/>
  <c r="L12" i="1"/>
  <c r="M96" i="1"/>
  <c r="M79" i="1"/>
  <c r="M62" i="1"/>
  <c r="M45" i="1"/>
  <c r="M28" i="1"/>
  <c r="M11" i="1"/>
  <c r="L11" i="1"/>
  <c r="M95" i="1"/>
  <c r="M78" i="1"/>
  <c r="M61" i="1"/>
  <c r="M44" i="1"/>
  <c r="M27" i="1"/>
  <c r="M10" i="1"/>
  <c r="L10" i="1"/>
  <c r="M94" i="1"/>
  <c r="M77" i="1"/>
  <c r="M60" i="1"/>
  <c r="M43" i="1"/>
  <c r="M26" i="1"/>
  <c r="M9" i="1"/>
  <c r="M91" i="1"/>
  <c r="M76" i="1"/>
  <c r="M59" i="1"/>
  <c r="M42" i="1"/>
  <c r="M25" i="1"/>
  <c r="M8" i="1"/>
  <c r="L8" i="1"/>
  <c r="M90" i="1"/>
  <c r="M75" i="1"/>
  <c r="M58" i="1"/>
  <c r="M41" i="1"/>
  <c r="M24" i="1"/>
  <c r="M7" i="1"/>
  <c r="L7" i="1"/>
  <c r="K89" i="1"/>
  <c r="L101" i="1" s="1"/>
  <c r="K74" i="1"/>
  <c r="L84" i="1" s="1"/>
  <c r="K55" i="1"/>
  <c r="L68" i="1" s="1"/>
  <c r="K38" i="1"/>
  <c r="M38" i="1" s="1"/>
  <c r="K21" i="1"/>
  <c r="L33" i="1" s="1"/>
  <c r="M5" i="1"/>
  <c r="L5" i="1"/>
  <c r="E89" i="1"/>
  <c r="F99" i="1" s="1"/>
  <c r="G102" i="1"/>
  <c r="G101" i="1"/>
  <c r="G100" i="1"/>
  <c r="G99" i="1"/>
  <c r="G98" i="1"/>
  <c r="G97" i="1"/>
  <c r="G96" i="1"/>
  <c r="G95" i="1"/>
  <c r="G94" i="1"/>
  <c r="G91" i="1"/>
  <c r="G90" i="1"/>
  <c r="E74" i="1"/>
  <c r="F82" i="1" s="1"/>
  <c r="G85" i="1"/>
  <c r="G84" i="1"/>
  <c r="G83" i="1"/>
  <c r="G82" i="1"/>
  <c r="G81" i="1"/>
  <c r="G80" i="1"/>
  <c r="G79" i="1"/>
  <c r="G78" i="1"/>
  <c r="G77" i="1"/>
  <c r="G76" i="1"/>
  <c r="G75" i="1"/>
  <c r="E55" i="1"/>
  <c r="G55" i="1" s="1"/>
  <c r="G68" i="1"/>
  <c r="G67" i="1"/>
  <c r="G66" i="1"/>
  <c r="G65" i="1"/>
  <c r="G64" i="1"/>
  <c r="G63" i="1"/>
  <c r="G62" i="1"/>
  <c r="G61" i="1"/>
  <c r="G60" i="1"/>
  <c r="G59" i="1"/>
  <c r="G58" i="1"/>
  <c r="E38" i="1"/>
  <c r="F43" i="1" s="1"/>
  <c r="G51" i="1"/>
  <c r="G50" i="1"/>
  <c r="G49" i="1"/>
  <c r="G48" i="1"/>
  <c r="G47" i="1"/>
  <c r="G46" i="1"/>
  <c r="G45" i="1"/>
  <c r="G44" i="1"/>
  <c r="G43" i="1"/>
  <c r="G42" i="1"/>
  <c r="G41" i="1"/>
  <c r="E21" i="1"/>
  <c r="F34" i="1" s="1"/>
  <c r="G34" i="1"/>
  <c r="G33" i="1"/>
  <c r="G32" i="1"/>
  <c r="G31" i="1"/>
  <c r="G30" i="1"/>
  <c r="G29" i="1"/>
  <c r="G28" i="1"/>
  <c r="G27" i="1"/>
  <c r="G26" i="1"/>
  <c r="G25" i="1"/>
  <c r="G24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5" i="1"/>
  <c r="F5" i="1"/>
  <c r="AJ154" i="1" l="1"/>
  <c r="T154" i="1"/>
  <c r="H154" i="1"/>
  <c r="N154" i="1"/>
  <c r="AE154" i="1"/>
  <c r="K191" i="1"/>
  <c r="AY197" i="1"/>
  <c r="AY198" i="1" s="1"/>
  <c r="L111" i="1"/>
  <c r="L112" i="1" s="1"/>
  <c r="L113" i="1" s="1"/>
  <c r="L114" i="1" s="1"/>
  <c r="L115" i="1" s="1"/>
  <c r="L116" i="1" s="1"/>
  <c r="L117" i="1" s="1"/>
  <c r="L118" i="1" s="1"/>
  <c r="L119" i="1" s="1"/>
  <c r="L120" i="1" s="1"/>
  <c r="N133" i="1"/>
  <c r="N147" i="1" s="1"/>
  <c r="AH111" i="1"/>
  <c r="AH112" i="1" s="1"/>
  <c r="AH113" i="1" s="1"/>
  <c r="AH114" i="1" s="1"/>
  <c r="AH115" i="1" s="1"/>
  <c r="AH116" i="1" s="1"/>
  <c r="AH117" i="1" s="1"/>
  <c r="AH118" i="1" s="1"/>
  <c r="AH119" i="1" s="1"/>
  <c r="AH120" i="1" s="1"/>
  <c r="AJ133" i="1"/>
  <c r="AJ147" i="1" s="1"/>
  <c r="R111" i="1"/>
  <c r="R112" i="1" s="1"/>
  <c r="R113" i="1" s="1"/>
  <c r="R114" i="1" s="1"/>
  <c r="R115" i="1" s="1"/>
  <c r="R116" i="1" s="1"/>
  <c r="R117" i="1" s="1"/>
  <c r="R118" i="1" s="1"/>
  <c r="R119" i="1" s="1"/>
  <c r="R120" i="1" s="1"/>
  <c r="T133" i="1"/>
  <c r="T147" i="1" s="1"/>
  <c r="AM111" i="1"/>
  <c r="AM112" i="1" s="1"/>
  <c r="AM113" i="1" s="1"/>
  <c r="AM114" i="1" s="1"/>
  <c r="AM115" i="1" s="1"/>
  <c r="AM116" i="1" s="1"/>
  <c r="AM117" i="1" s="1"/>
  <c r="AM118" i="1" s="1"/>
  <c r="AM119" i="1" s="1"/>
  <c r="AM120" i="1" s="1"/>
  <c r="AQ133" i="1"/>
  <c r="X111" i="1"/>
  <c r="X112" i="1" s="1"/>
  <c r="X113" i="1" s="1"/>
  <c r="X114" i="1" s="1"/>
  <c r="X115" i="1" s="1"/>
  <c r="X116" i="1" s="1"/>
  <c r="X117" i="1" s="1"/>
  <c r="X118" i="1" s="1"/>
  <c r="X119" i="1" s="1"/>
  <c r="X120" i="1" s="1"/>
  <c r="Z133" i="1"/>
  <c r="AC111" i="1"/>
  <c r="AC112" i="1" s="1"/>
  <c r="AC113" i="1" s="1"/>
  <c r="AC114" i="1" s="1"/>
  <c r="AC115" i="1" s="1"/>
  <c r="AC116" i="1" s="1"/>
  <c r="AC117" i="1" s="1"/>
  <c r="AC118" i="1" s="1"/>
  <c r="AC119" i="1" s="1"/>
  <c r="AC120" i="1" s="1"/>
  <c r="AE133" i="1"/>
  <c r="AE147" i="1" s="1"/>
  <c r="F111" i="1"/>
  <c r="F112" i="1" s="1"/>
  <c r="F113" i="1" s="1"/>
  <c r="F114" i="1" s="1"/>
  <c r="F115" i="1" s="1"/>
  <c r="F116" i="1" s="1"/>
  <c r="F117" i="1" s="1"/>
  <c r="F118" i="1" s="1"/>
  <c r="H134" i="1"/>
  <c r="H148" i="1" s="1"/>
  <c r="F119" i="1"/>
  <c r="H143" i="1"/>
  <c r="H156" i="1" s="1"/>
  <c r="AN106" i="1"/>
  <c r="X107" i="1"/>
  <c r="AD106" i="1"/>
  <c r="AM24" i="1"/>
  <c r="F77" i="1"/>
  <c r="AH106" i="1"/>
  <c r="X106" i="1"/>
  <c r="AI106" i="1"/>
  <c r="R107" i="1"/>
  <c r="Y106" i="1"/>
  <c r="AM107" i="1"/>
  <c r="S106" i="1"/>
  <c r="AM65" i="1"/>
  <c r="L106" i="1"/>
  <c r="F96" i="1"/>
  <c r="AH41" i="1"/>
  <c r="AM26" i="1"/>
  <c r="M106" i="1"/>
  <c r="F90" i="1"/>
  <c r="L91" i="1"/>
  <c r="G89" i="1"/>
  <c r="G104" i="1" s="1"/>
  <c r="L90" i="1"/>
  <c r="G72" i="1"/>
  <c r="M19" i="1"/>
  <c r="F100" i="1"/>
  <c r="AM59" i="1"/>
  <c r="M89" i="1"/>
  <c r="M104" i="1" s="1"/>
  <c r="AN19" i="1"/>
  <c r="AM67" i="1"/>
  <c r="AD38" i="1"/>
  <c r="AD53" i="1" s="1"/>
  <c r="AN74" i="1"/>
  <c r="AN87" i="1" s="1"/>
  <c r="AM80" i="1"/>
  <c r="L46" i="1"/>
  <c r="AC63" i="1"/>
  <c r="L44" i="1"/>
  <c r="AM28" i="1"/>
  <c r="AM30" i="1"/>
  <c r="AM32" i="1"/>
  <c r="AM34" i="1"/>
  <c r="AC42" i="1"/>
  <c r="AD19" i="1"/>
  <c r="F58" i="1"/>
  <c r="L42" i="1"/>
  <c r="S19" i="1"/>
  <c r="AC50" i="1"/>
  <c r="F63" i="1"/>
  <c r="X85" i="1"/>
  <c r="AH65" i="1"/>
  <c r="X94" i="1"/>
  <c r="R74" i="1"/>
  <c r="Y19" i="1"/>
  <c r="M74" i="1"/>
  <c r="M87" i="1" s="1"/>
  <c r="L50" i="1"/>
  <c r="X75" i="1"/>
  <c r="X76" i="1"/>
  <c r="X77" i="1"/>
  <c r="X83" i="1"/>
  <c r="M21" i="1"/>
  <c r="M36" i="1" s="1"/>
  <c r="AI36" i="1"/>
  <c r="L48" i="1"/>
  <c r="Y74" i="1"/>
  <c r="X78" i="1"/>
  <c r="X79" i="1"/>
  <c r="X80" i="1"/>
  <c r="X81" i="1"/>
  <c r="AM63" i="1"/>
  <c r="G121" i="1"/>
  <c r="AH107" i="1"/>
  <c r="F106" i="1"/>
  <c r="R106" i="1"/>
  <c r="AC106" i="1"/>
  <c r="AM106" i="1"/>
  <c r="F107" i="1"/>
  <c r="L107" i="1"/>
  <c r="AC107" i="1"/>
  <c r="AN89" i="1"/>
  <c r="AN104" i="1" s="1"/>
  <c r="AM94" i="1"/>
  <c r="AM96" i="1"/>
  <c r="AM78" i="1"/>
  <c r="AM74" i="1"/>
  <c r="AM89" i="1"/>
  <c r="AM98" i="1"/>
  <c r="AM100" i="1"/>
  <c r="AM102" i="1"/>
  <c r="AN72" i="1"/>
  <c r="AM90" i="1"/>
  <c r="AM76" i="1"/>
  <c r="AM61" i="1"/>
  <c r="AN36" i="1"/>
  <c r="AM38" i="1"/>
  <c r="AN38" i="1"/>
  <c r="AN53" i="1" s="1"/>
  <c r="AM41" i="1"/>
  <c r="AM43" i="1"/>
  <c r="AM45" i="1"/>
  <c r="AM47" i="1"/>
  <c r="AM82" i="1"/>
  <c r="AM49" i="1"/>
  <c r="AM84" i="1"/>
  <c r="AM51" i="1"/>
  <c r="AM55" i="1"/>
  <c r="AM58" i="1"/>
  <c r="AM25" i="1"/>
  <c r="AM91" i="1"/>
  <c r="AM60" i="1"/>
  <c r="AM27" i="1"/>
  <c r="AM95" i="1"/>
  <c r="AM62" i="1"/>
  <c r="AM29" i="1"/>
  <c r="AM97" i="1"/>
  <c r="AM64" i="1"/>
  <c r="AM31" i="1"/>
  <c r="AM99" i="1"/>
  <c r="AM66" i="1"/>
  <c r="AM33" i="1"/>
  <c r="AM68" i="1"/>
  <c r="AM21" i="1"/>
  <c r="AM75" i="1"/>
  <c r="AM42" i="1"/>
  <c r="AM77" i="1"/>
  <c r="AM44" i="1"/>
  <c r="AM79" i="1"/>
  <c r="AM46" i="1"/>
  <c r="AM81" i="1"/>
  <c r="AM48" i="1"/>
  <c r="AM83" i="1"/>
  <c r="AH102" i="1"/>
  <c r="AH66" i="1"/>
  <c r="AH61" i="1"/>
  <c r="AH62" i="1"/>
  <c r="AH98" i="1"/>
  <c r="AH97" i="1"/>
  <c r="AH58" i="1"/>
  <c r="AH94" i="1"/>
  <c r="AH49" i="1"/>
  <c r="AI72" i="1"/>
  <c r="AH91" i="1"/>
  <c r="AH45" i="1"/>
  <c r="AH101" i="1"/>
  <c r="AH77" i="1"/>
  <c r="AH81" i="1"/>
  <c r="AH74" i="1"/>
  <c r="AH46" i="1"/>
  <c r="AH38" i="1"/>
  <c r="AH82" i="1"/>
  <c r="AI38" i="1"/>
  <c r="AI53" i="1" s="1"/>
  <c r="AH89" i="1"/>
  <c r="AH75" i="1"/>
  <c r="AH59" i="1"/>
  <c r="AH43" i="1"/>
  <c r="AH95" i="1"/>
  <c r="AH79" i="1"/>
  <c r="AH63" i="1"/>
  <c r="AH47" i="1"/>
  <c r="AH99" i="1"/>
  <c r="AH83" i="1"/>
  <c r="AH67" i="1"/>
  <c r="AH51" i="1"/>
  <c r="AH85" i="1"/>
  <c r="AH42" i="1"/>
  <c r="AH50" i="1"/>
  <c r="AI89" i="1"/>
  <c r="AI104" i="1" s="1"/>
  <c r="AI74" i="1"/>
  <c r="AI87" i="1" s="1"/>
  <c r="AH55" i="1"/>
  <c r="AH90" i="1"/>
  <c r="AH76" i="1"/>
  <c r="AH60" i="1"/>
  <c r="AH44" i="1"/>
  <c r="AH96" i="1"/>
  <c r="AH80" i="1"/>
  <c r="AH64" i="1"/>
  <c r="AH84" i="1"/>
  <c r="AH68" i="1"/>
  <c r="AC89" i="1"/>
  <c r="AC90" i="1"/>
  <c r="AD89" i="1"/>
  <c r="AD104" i="1" s="1"/>
  <c r="AC91" i="1"/>
  <c r="AC94" i="1"/>
  <c r="AC95" i="1"/>
  <c r="AC96" i="1"/>
  <c r="AC97" i="1"/>
  <c r="AC98" i="1"/>
  <c r="AC99" i="1"/>
  <c r="AC100" i="1"/>
  <c r="AC101" i="1"/>
  <c r="AC65" i="1"/>
  <c r="AC55" i="1"/>
  <c r="AC67" i="1"/>
  <c r="AD55" i="1"/>
  <c r="AD72" i="1" s="1"/>
  <c r="AC59" i="1"/>
  <c r="AC61" i="1"/>
  <c r="AC44" i="1"/>
  <c r="AC46" i="1"/>
  <c r="AC48" i="1"/>
  <c r="AC24" i="1"/>
  <c r="AC34" i="1"/>
  <c r="AC74" i="1"/>
  <c r="AD74" i="1"/>
  <c r="AD87" i="1" s="1"/>
  <c r="AC41" i="1"/>
  <c r="AC76" i="1"/>
  <c r="AC43" i="1"/>
  <c r="AC78" i="1"/>
  <c r="AC45" i="1"/>
  <c r="AC80" i="1"/>
  <c r="AC47" i="1"/>
  <c r="AC82" i="1"/>
  <c r="AC49" i="1"/>
  <c r="AC84" i="1"/>
  <c r="AC51" i="1"/>
  <c r="AC28" i="1"/>
  <c r="AD21" i="1"/>
  <c r="AD36" i="1" s="1"/>
  <c r="AC30" i="1"/>
  <c r="AC58" i="1"/>
  <c r="AC25" i="1"/>
  <c r="AC60" i="1"/>
  <c r="AC27" i="1"/>
  <c r="AC62" i="1"/>
  <c r="AC29" i="1"/>
  <c r="AC64" i="1"/>
  <c r="AC31" i="1"/>
  <c r="AC66" i="1"/>
  <c r="AC33" i="1"/>
  <c r="AC21" i="1"/>
  <c r="AC26" i="1"/>
  <c r="AC75" i="1"/>
  <c r="AC77" i="1"/>
  <c r="AC79" i="1"/>
  <c r="AC81" i="1"/>
  <c r="AC83" i="1"/>
  <c r="Y87" i="1"/>
  <c r="Y89" i="1"/>
  <c r="Y104" i="1" s="1"/>
  <c r="X90" i="1"/>
  <c r="X96" i="1"/>
  <c r="X98" i="1"/>
  <c r="X100" i="1"/>
  <c r="X102" i="1"/>
  <c r="Y53" i="1"/>
  <c r="X48" i="1"/>
  <c r="X50" i="1"/>
  <c r="X44" i="1"/>
  <c r="X42" i="1"/>
  <c r="X46" i="1"/>
  <c r="X21" i="1"/>
  <c r="X24" i="1"/>
  <c r="X59" i="1"/>
  <c r="X26" i="1"/>
  <c r="X61" i="1"/>
  <c r="X28" i="1"/>
  <c r="X63" i="1"/>
  <c r="X30" i="1"/>
  <c r="X65" i="1"/>
  <c r="X32" i="1"/>
  <c r="X67" i="1"/>
  <c r="X34" i="1"/>
  <c r="Y21" i="1"/>
  <c r="Y36" i="1" s="1"/>
  <c r="X74" i="1"/>
  <c r="X55" i="1"/>
  <c r="Y55" i="1"/>
  <c r="Y72" i="1" s="1"/>
  <c r="X47" i="1"/>
  <c r="X82" i="1"/>
  <c r="X49" i="1"/>
  <c r="X51" i="1"/>
  <c r="X38" i="1"/>
  <c r="X41" i="1"/>
  <c r="X43" i="1"/>
  <c r="X45" i="1"/>
  <c r="X89" i="1"/>
  <c r="X58" i="1"/>
  <c r="X25" i="1"/>
  <c r="X91" i="1"/>
  <c r="X60" i="1"/>
  <c r="X27" i="1"/>
  <c r="X95" i="1"/>
  <c r="X62" i="1"/>
  <c r="X29" i="1"/>
  <c r="X97" i="1"/>
  <c r="X64" i="1"/>
  <c r="X31" i="1"/>
  <c r="X99" i="1"/>
  <c r="X66" i="1"/>
  <c r="S104" i="1"/>
  <c r="S74" i="1"/>
  <c r="S87" i="1" s="1"/>
  <c r="S55" i="1"/>
  <c r="S72" i="1" s="1"/>
  <c r="R21" i="1"/>
  <c r="R24" i="1"/>
  <c r="R90" i="1"/>
  <c r="R59" i="1"/>
  <c r="R26" i="1"/>
  <c r="R94" i="1"/>
  <c r="R61" i="1"/>
  <c r="R28" i="1"/>
  <c r="R96" i="1"/>
  <c r="R63" i="1"/>
  <c r="R30" i="1"/>
  <c r="R98" i="1"/>
  <c r="R65" i="1"/>
  <c r="R32" i="1"/>
  <c r="R100" i="1"/>
  <c r="R67" i="1"/>
  <c r="R34" i="1"/>
  <c r="R102" i="1"/>
  <c r="S21" i="1"/>
  <c r="S36" i="1" s="1"/>
  <c r="R41" i="1"/>
  <c r="R76" i="1"/>
  <c r="R43" i="1"/>
  <c r="R78" i="1"/>
  <c r="R45" i="1"/>
  <c r="R80" i="1"/>
  <c r="R47" i="1"/>
  <c r="R82" i="1"/>
  <c r="R49" i="1"/>
  <c r="R84" i="1"/>
  <c r="R51" i="1"/>
  <c r="R38" i="1"/>
  <c r="S38" i="1"/>
  <c r="S53" i="1" s="1"/>
  <c r="R89" i="1"/>
  <c r="R58" i="1"/>
  <c r="R25" i="1"/>
  <c r="R91" i="1"/>
  <c r="R60" i="1"/>
  <c r="R27" i="1"/>
  <c r="R95" i="1"/>
  <c r="R62" i="1"/>
  <c r="R29" i="1"/>
  <c r="R97" i="1"/>
  <c r="R64" i="1"/>
  <c r="R31" i="1"/>
  <c r="R99" i="1"/>
  <c r="R66" i="1"/>
  <c r="R101" i="1"/>
  <c r="R68" i="1"/>
  <c r="R75" i="1"/>
  <c r="R42" i="1"/>
  <c r="R77" i="1"/>
  <c r="R44" i="1"/>
  <c r="R79" i="1"/>
  <c r="R46" i="1"/>
  <c r="R81" i="1"/>
  <c r="R48" i="1"/>
  <c r="R83" i="1"/>
  <c r="L74" i="1"/>
  <c r="L75" i="1"/>
  <c r="L77" i="1"/>
  <c r="L76" i="1"/>
  <c r="L78" i="1"/>
  <c r="L79" i="1"/>
  <c r="L81" i="1"/>
  <c r="L83" i="1"/>
  <c r="L85" i="1"/>
  <c r="L80" i="1"/>
  <c r="M53" i="1"/>
  <c r="M55" i="1"/>
  <c r="M72" i="1" s="1"/>
  <c r="L21" i="1"/>
  <c r="L24" i="1"/>
  <c r="L59" i="1"/>
  <c r="L26" i="1"/>
  <c r="L94" i="1"/>
  <c r="L61" i="1"/>
  <c r="L28" i="1"/>
  <c r="L96" i="1"/>
  <c r="L63" i="1"/>
  <c r="L30" i="1"/>
  <c r="L98" i="1"/>
  <c r="L65" i="1"/>
  <c r="L32" i="1"/>
  <c r="L100" i="1"/>
  <c r="L67" i="1"/>
  <c r="L34" i="1"/>
  <c r="L102" i="1"/>
  <c r="L55" i="1"/>
  <c r="L41" i="1"/>
  <c r="L47" i="1"/>
  <c r="L82" i="1"/>
  <c r="L49" i="1"/>
  <c r="L51" i="1"/>
  <c r="L38" i="1"/>
  <c r="L43" i="1"/>
  <c r="L45" i="1"/>
  <c r="L89" i="1"/>
  <c r="L58" i="1"/>
  <c r="L25" i="1"/>
  <c r="L60" i="1"/>
  <c r="L27" i="1"/>
  <c r="L95" i="1"/>
  <c r="L62" i="1"/>
  <c r="L29" i="1"/>
  <c r="L97" i="1"/>
  <c r="L64" i="1"/>
  <c r="L31" i="1"/>
  <c r="L99" i="1"/>
  <c r="L66" i="1"/>
  <c r="F91" i="1"/>
  <c r="F97" i="1"/>
  <c r="F101" i="1"/>
  <c r="F98" i="1"/>
  <c r="F102" i="1"/>
  <c r="F89" i="1"/>
  <c r="F95" i="1"/>
  <c r="F76" i="1"/>
  <c r="F75" i="1"/>
  <c r="G74" i="1"/>
  <c r="G87" i="1" s="1"/>
  <c r="F79" i="1"/>
  <c r="F83" i="1"/>
  <c r="F80" i="1"/>
  <c r="F84" i="1"/>
  <c r="F81" i="1"/>
  <c r="F85" i="1"/>
  <c r="F74" i="1"/>
  <c r="F78" i="1"/>
  <c r="F59" i="1"/>
  <c r="F66" i="1"/>
  <c r="F65" i="1"/>
  <c r="F62" i="1"/>
  <c r="F67" i="1"/>
  <c r="F60" i="1"/>
  <c r="F64" i="1"/>
  <c r="F68" i="1"/>
  <c r="F55" i="1"/>
  <c r="F61" i="1"/>
  <c r="F46" i="1"/>
  <c r="F47" i="1"/>
  <c r="F51" i="1"/>
  <c r="F44" i="1"/>
  <c r="F48" i="1"/>
  <c r="G38" i="1"/>
  <c r="G53" i="1" s="1"/>
  <c r="F41" i="1"/>
  <c r="F45" i="1"/>
  <c r="F49" i="1"/>
  <c r="F42" i="1"/>
  <c r="F50" i="1"/>
  <c r="F38" i="1"/>
  <c r="G19" i="1"/>
  <c r="F27" i="1"/>
  <c r="F31" i="1"/>
  <c r="G21" i="1"/>
  <c r="G36" i="1" s="1"/>
  <c r="F24" i="1"/>
  <c r="F28" i="1"/>
  <c r="F32" i="1"/>
  <c r="F21" i="1"/>
  <c r="F33" i="1"/>
  <c r="F25" i="1"/>
  <c r="F29" i="1"/>
  <c r="F26" i="1"/>
  <c r="F30" i="1"/>
  <c r="L191" i="1" l="1"/>
  <c r="AN121" i="1"/>
  <c r="AQ145" i="1" s="1"/>
  <c r="AQ130" i="1"/>
  <c r="AI121" i="1"/>
  <c r="AJ130" i="1"/>
  <c r="S121" i="1"/>
  <c r="T130" i="1"/>
  <c r="AD121" i="1"/>
  <c r="AE130" i="1"/>
  <c r="M121" i="1"/>
  <c r="N130" i="1"/>
  <c r="Y121" i="1"/>
  <c r="Z130" i="1"/>
  <c r="L9" i="1"/>
</calcChain>
</file>

<file path=xl/sharedStrings.xml><?xml version="1.0" encoding="utf-8"?>
<sst xmlns="http://schemas.openxmlformats.org/spreadsheetml/2006/main" count="333" uniqueCount="142">
  <si>
    <t>2010/2011</t>
  </si>
  <si>
    <t>Cumul</t>
  </si>
  <si>
    <t>Mensuel</t>
  </si>
  <si>
    <t>83004</t>
  </si>
  <si>
    <t>2011/2012</t>
  </si>
  <si>
    <t>2012/2013</t>
  </si>
  <si>
    <t>2013/2014</t>
  </si>
  <si>
    <t>2014/2015</t>
  </si>
  <si>
    <t>2015/2016</t>
  </si>
  <si>
    <t>48698</t>
  </si>
  <si>
    <t>6708</t>
  </si>
  <si>
    <t>MCS - BI-JOUR</t>
  </si>
  <si>
    <t>EXCLUSIF NUIT</t>
  </si>
  <si>
    <t>BI-JOUR</t>
  </si>
  <si>
    <t>BI-NUIT</t>
  </si>
  <si>
    <t>MCS - BI-NUIT</t>
  </si>
  <si>
    <t>GITE SEUL</t>
  </si>
  <si>
    <t>Production</t>
  </si>
  <si>
    <t xml:space="preserve">  </t>
  </si>
  <si>
    <t>ELECTRABEL</t>
  </si>
  <si>
    <t>2016/2017</t>
  </si>
  <si>
    <t>BELPOWER</t>
  </si>
  <si>
    <t>???</t>
  </si>
  <si>
    <t>Avant</t>
  </si>
  <si>
    <t>Insérer avant cette ligne pour l'année suivante</t>
  </si>
  <si>
    <t>2017/2018</t>
  </si>
  <si>
    <t>Conso actuelle</t>
  </si>
  <si>
    <t>Conso depuis relevé</t>
  </si>
  <si>
    <t>OCTA+</t>
  </si>
  <si>
    <t>AN -1</t>
  </si>
  <si>
    <t>Nuit</t>
  </si>
  <si>
    <t>Bi-Nuit</t>
  </si>
  <si>
    <t>Bi-Jour</t>
  </si>
  <si>
    <t>JOUR en équivalent courant de jour</t>
  </si>
  <si>
    <t>Total des certificats verts</t>
  </si>
  <si>
    <t>Ne rien insérer sous cette ligne</t>
  </si>
  <si>
    <t>Prix moyen</t>
  </si>
  <si>
    <t>Insérer ICI l'année suivante</t>
  </si>
  <si>
    <t>Frais annuels</t>
  </si>
  <si>
    <t>Redevance fixe OCTA+</t>
  </si>
  <si>
    <t>Transport</t>
  </si>
  <si>
    <t>Distrib.</t>
  </si>
  <si>
    <t>Location compteur</t>
  </si>
  <si>
    <t>Cot.Fédérale</t>
  </si>
  <si>
    <t>Cot.Energie</t>
  </si>
  <si>
    <t>Red.Raccord.</t>
  </si>
  <si>
    <t xml:space="preserve"> / kWh</t>
  </si>
  <si>
    <t>Fournit.</t>
  </si>
  <si>
    <t>Total depuis le dernier elevé</t>
  </si>
  <si>
    <t>non totalisé car déjà dans relevés</t>
  </si>
  <si>
    <t>Total depuis le dernier relevé</t>
  </si>
  <si>
    <t>Relevé  …</t>
  </si>
  <si>
    <t>Année</t>
  </si>
  <si>
    <t>Lu 01/01</t>
  </si>
  <si>
    <t>Lu 25/12</t>
  </si>
  <si>
    <t>Lu 08/01</t>
  </si>
  <si>
    <t>Lu 15/01</t>
  </si>
  <si>
    <t>Lu 22/01</t>
  </si>
  <si>
    <t>Lu 29/01</t>
  </si>
  <si>
    <t>Lu 05/02</t>
  </si>
  <si>
    <t>Lu 12/02</t>
  </si>
  <si>
    <t>Lu 19/02</t>
  </si>
  <si>
    <t>Lu 26/02</t>
  </si>
  <si>
    <t>Lu 05/03</t>
  </si>
  <si>
    <t>Lu 12/03</t>
  </si>
  <si>
    <t>Lu 19/03</t>
  </si>
  <si>
    <t>Lu 26/03</t>
  </si>
  <si>
    <t>Lu 02/04</t>
  </si>
  <si>
    <t>Lu 09/04</t>
  </si>
  <si>
    <t>Lu 16/04</t>
  </si>
  <si>
    <t xml:space="preserve"> / semaine</t>
  </si>
  <si>
    <t>Lu 23/04</t>
  </si>
  <si>
    <t>Lu 30/04</t>
  </si>
  <si>
    <t>Lu 07/05</t>
  </si>
  <si>
    <t>Lu 14/05</t>
  </si>
  <si>
    <t>Lu 21/05</t>
  </si>
  <si>
    <t>Lu 28/05</t>
  </si>
  <si>
    <t>COUTS HORS TVA avec contrat OCTA+ 3 ans</t>
  </si>
  <si>
    <t xml:space="preserve"> + TVA </t>
  </si>
  <si>
    <t xml:space="preserve"> + frais fixes</t>
  </si>
  <si>
    <t>Année avant : 1,200 €</t>
  </si>
  <si>
    <t>Année avant : 2 900,00 €</t>
  </si>
  <si>
    <t>Lu 04/06</t>
  </si>
  <si>
    <t>Lu 18/06</t>
  </si>
  <si>
    <t>Lu 25/06</t>
  </si>
  <si>
    <t>Lu 02/07</t>
  </si>
  <si>
    <t>Lu 23/07</t>
  </si>
  <si>
    <t>Lu 30/07</t>
  </si>
  <si>
    <t>OCTA+ 01/08</t>
  </si>
  <si>
    <t>mensuel TVAC</t>
  </si>
  <si>
    <t>Consommation vacances</t>
  </si>
  <si>
    <t>Retour</t>
  </si>
  <si>
    <t>Départ</t>
  </si>
  <si>
    <t>Consom</t>
  </si>
  <si>
    <t>Jour</t>
  </si>
  <si>
    <t>kWh consommés</t>
  </si>
  <si>
    <t>soit 5,4286 kWh/jour</t>
  </si>
  <si>
    <t>soit 1.981 kWh / an</t>
  </si>
  <si>
    <t>pour les 3 frigos/congél. + Eau Chaude ?</t>
  </si>
  <si>
    <t>PH-2</t>
  </si>
  <si>
    <t>Ex. Nuit</t>
  </si>
  <si>
    <t>Bi_Nuit</t>
  </si>
  <si>
    <t>Pro_Jour</t>
  </si>
  <si>
    <t>Pro-Nuit</t>
  </si>
  <si>
    <t>Gîte</t>
  </si>
  <si>
    <t>au soir</t>
  </si>
  <si>
    <t>au matin</t>
  </si>
  <si>
    <t>Tot PRO</t>
  </si>
  <si>
    <t>Tot PRIVE</t>
  </si>
  <si>
    <t>TOTAL</t>
  </si>
  <si>
    <t>5 mois ?</t>
  </si>
  <si>
    <t>2 jours</t>
  </si>
  <si>
    <t>3 jours</t>
  </si>
  <si>
    <t>JOUR</t>
  </si>
  <si>
    <t>NUIT</t>
  </si>
  <si>
    <t>11 jours</t>
  </si>
  <si>
    <t>8 jours</t>
  </si>
  <si>
    <t>NOUVEAU COMPTEUR</t>
  </si>
  <si>
    <t>Total Ex.N.</t>
  </si>
  <si>
    <t>SMA-1</t>
  </si>
  <si>
    <t>SMA-2</t>
  </si>
  <si>
    <t>SMA-3</t>
  </si>
  <si>
    <t>2020-01</t>
  </si>
  <si>
    <t>2019-12</t>
  </si>
  <si>
    <t>2019-11</t>
  </si>
  <si>
    <t>2019-10</t>
  </si>
  <si>
    <t>Total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</si>
  <si>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</si>
  <si>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</si>
  <si>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</si>
  <si>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</si>
  <si>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</si>
  <si>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</si>
  <si>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</si>
  <si>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</si>
  <si>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</si>
  <si>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</si>
  <si>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</si>
  <si>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FIN</t>
  </si>
  <si>
    <t>Cot.En.Renouv.</t>
  </si>
  <si>
    <t>+ SPA</t>
  </si>
  <si>
    <t>Cpt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</si>
</sst>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_ ;\-0\ "/>
    <numFmt numFmtId="166" formatCode="_-* #,##0.00\ [$€-40C]_-;\-* #,##0.00\ [$€-40C]_-;_-* &quot;-&quot;??\ [$€-40C]_-;_-@_-"/>
    <numFmt numFmtId="167" formatCode="_-* #,##0.000000\ _€_-;\-* #,##0.000000\ _€_-;_-* &quot;-&quot;??\ _€_-;_-@_-"/>
    <numFmt numFmtId="168" formatCode="0.000000"/>
    <numFmt numFmtId="169" formatCode="0.000"/>
    <numFmt numFmtId="170" formatCode="[$-F800]dddd\,\ mmmm\ dd\,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2" fillId="4" borderId="9" xfId="0" applyFont="1" applyFill="1" applyBorder="1"/>
    <xf numFmtId="1" fontId="3" fillId="4" borderId="10" xfId="0" applyNumberFormat="1" applyFont="1" applyFill="1" applyBorder="1" applyAlignment="1">
      <alignment horizontal="center"/>
    </xf>
    <xf numFmtId="1" fontId="3" fillId="4" borderId="11" xfId="0" applyNumberFormat="1" applyFont="1" applyFill="1" applyBorder="1"/>
    <xf numFmtId="0" fontId="2" fillId="3" borderId="9" xfId="0" applyFont="1" applyFill="1" applyBorder="1"/>
    <xf numFmtId="1" fontId="3" fillId="3" borderId="10" xfId="2" applyNumberFormat="1" applyFont="1" applyFill="1" applyBorder="1"/>
    <xf numFmtId="1" fontId="3" fillId="3" borderId="11" xfId="2" applyNumberFormat="1" applyFont="1" applyFill="1" applyBorder="1"/>
    <xf numFmtId="0" fontId="2" fillId="5" borderId="9" xfId="0" applyFont="1" applyFill="1" applyBorder="1"/>
    <xf numFmtId="1" fontId="3" fillId="5" borderId="10" xfId="0" applyNumberFormat="1" applyFont="1" applyFill="1" applyBorder="1"/>
    <xf numFmtId="1" fontId="3" fillId="5" borderId="11" xfId="0" applyNumberFormat="1" applyFont="1" applyFill="1" applyBorder="1"/>
    <xf numFmtId="0" fontId="4" fillId="0" borderId="0" xfId="0" applyFont="1"/>
    <xf numFmtId="0" fontId="2" fillId="6" borderId="9" xfId="0" applyFont="1" applyFill="1" applyBorder="1"/>
    <xf numFmtId="1" fontId="3" fillId="6" borderId="10" xfId="0" applyNumberFormat="1" applyFont="1" applyFill="1" applyBorder="1"/>
    <xf numFmtId="1" fontId="3" fillId="6" borderId="11" xfId="0" applyNumberFormat="1" applyFont="1" applyFill="1" applyBorder="1"/>
    <xf numFmtId="0" fontId="2" fillId="8" borderId="9" xfId="0" applyFont="1" applyFill="1" applyBorder="1"/>
    <xf numFmtId="1" fontId="3" fillId="8" borderId="10" xfId="0" applyNumberFormat="1" applyFont="1" applyFill="1" applyBorder="1" applyAlignment="1">
      <alignment horizontal="center"/>
    </xf>
    <xf numFmtId="1" fontId="3" fillId="8" borderId="11" xfId="0" applyNumberFormat="1" applyFont="1" applyFill="1" applyBorder="1"/>
    <xf numFmtId="0" fontId="3" fillId="0" borderId="0" xfId="0" applyFont="1" applyAlignment="1">
      <alignment horizontal="center"/>
    </xf>
    <xf numFmtId="166" fontId="2" fillId="0" borderId="0" xfId="0" applyNumberFormat="1" applyFont="1"/>
    <xf numFmtId="14" fontId="2" fillId="2" borderId="0" xfId="0" applyNumberFormat="1" applyFont="1" applyFill="1"/>
    <xf numFmtId="49" fontId="5" fillId="0" borderId="1" xfId="2" applyNumberFormat="1" applyFont="1" applyBorder="1" applyAlignment="1">
      <alignment horizontal="center"/>
    </xf>
    <xf numFmtId="49" fontId="5" fillId="0" borderId="2" xfId="2" applyNumberFormat="1" applyFont="1" applyBorder="1" applyAlignment="1">
      <alignment horizontal="center"/>
    </xf>
    <xf numFmtId="49" fontId="6" fillId="0" borderId="0" xfId="2" applyNumberFormat="1" applyFont="1" applyAlignment="1">
      <alignment horizontal="center"/>
    </xf>
    <xf numFmtId="49" fontId="5" fillId="0" borderId="9" xfId="2" applyNumberFormat="1" applyFont="1" applyBorder="1" applyAlignment="1">
      <alignment horizontal="center"/>
    </xf>
    <xf numFmtId="49" fontId="5" fillId="0" borderId="10" xfId="2" applyNumberFormat="1" applyFont="1" applyBorder="1" applyAlignment="1">
      <alignment horizontal="center"/>
    </xf>
    <xf numFmtId="49" fontId="5" fillId="0" borderId="11" xfId="2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4" fontId="4" fillId="0" borderId="0" xfId="2" applyNumberFormat="1" applyFont="1" applyAlignment="1">
      <alignment horizontal="center"/>
    </xf>
    <xf numFmtId="49" fontId="8" fillId="0" borderId="1" xfId="2" applyNumberFormat="1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1" fontId="9" fillId="0" borderId="2" xfId="2" applyNumberFormat="1" applyFont="1" applyBorder="1" applyAlignment="1">
      <alignment horizontal="center"/>
    </xf>
    <xf numFmtId="1" fontId="9" fillId="0" borderId="1" xfId="2" applyNumberFormat="1" applyFont="1" applyBorder="1" applyAlignment="1">
      <alignment horizontal="center"/>
    </xf>
    <xf numFmtId="1" fontId="8" fillId="0" borderId="6" xfId="2" applyNumberFormat="1" applyFont="1" applyBorder="1" applyAlignment="1">
      <alignment horizontal="center"/>
    </xf>
    <xf numFmtId="14" fontId="4" fillId="0" borderId="0" xfId="0" applyNumberFormat="1" applyFont="1"/>
    <xf numFmtId="165" fontId="7" fillId="7" borderId="12" xfId="1" applyNumberFormat="1" applyFont="1" applyFill="1" applyBorder="1"/>
    <xf numFmtId="49" fontId="5" fillId="0" borderId="6" xfId="2" applyNumberFormat="1" applyFont="1" applyBorder="1" applyAlignment="1">
      <alignment horizontal="center"/>
    </xf>
    <xf numFmtId="1" fontId="9" fillId="0" borderId="3" xfId="2" applyNumberFormat="1" applyFont="1" applyBorder="1" applyAlignment="1">
      <alignment horizontal="center"/>
    </xf>
    <xf numFmtId="1" fontId="8" fillId="0" borderId="0" xfId="2" applyNumberFormat="1" applyFont="1" applyAlignment="1">
      <alignment horizontal="center"/>
    </xf>
    <xf numFmtId="1" fontId="9" fillId="0" borderId="0" xfId="2" applyNumberFormat="1" applyFont="1" applyAlignment="1">
      <alignment horizontal="center"/>
    </xf>
    <xf numFmtId="1" fontId="8" fillId="0" borderId="7" xfId="2" applyNumberFormat="1" applyFont="1" applyBorder="1" applyAlignment="1">
      <alignment horizontal="center"/>
    </xf>
    <xf numFmtId="165" fontId="10" fillId="7" borderId="13" xfId="1" applyNumberFormat="1" applyFont="1" applyFill="1" applyBorder="1"/>
    <xf numFmtId="1" fontId="9" fillId="0" borderId="7" xfId="2" applyNumberFormat="1" applyFont="1" applyBorder="1" applyAlignment="1">
      <alignment horizontal="center"/>
    </xf>
    <xf numFmtId="165" fontId="11" fillId="7" borderId="13" xfId="1" applyNumberFormat="1" applyFont="1" applyFill="1" applyBorder="1"/>
    <xf numFmtId="1" fontId="12" fillId="0" borderId="3" xfId="2" applyNumberFormat="1" applyFont="1" applyBorder="1" applyAlignment="1">
      <alignment horizontal="center"/>
    </xf>
    <xf numFmtId="1" fontId="13" fillId="9" borderId="3" xfId="2" applyNumberFormat="1" applyFont="1" applyFill="1" applyBorder="1" applyAlignment="1">
      <alignment horizontal="center"/>
    </xf>
    <xf numFmtId="1" fontId="9" fillId="0" borderId="4" xfId="2" applyNumberFormat="1" applyFont="1" applyBorder="1" applyAlignment="1">
      <alignment horizontal="center"/>
    </xf>
    <xf numFmtId="1" fontId="8" fillId="0" borderId="5" xfId="2" applyNumberFormat="1" applyFont="1" applyBorder="1" applyAlignment="1">
      <alignment horizontal="center"/>
    </xf>
    <xf numFmtId="1" fontId="9" fillId="0" borderId="5" xfId="2" applyNumberFormat="1" applyFont="1" applyBorder="1" applyAlignment="1">
      <alignment horizontal="center"/>
    </xf>
    <xf numFmtId="1" fontId="11" fillId="0" borderId="5" xfId="2" applyNumberFormat="1" applyFont="1" applyBorder="1" applyAlignment="1">
      <alignment horizontal="center"/>
    </xf>
    <xf numFmtId="1" fontId="9" fillId="0" borderId="8" xfId="2" applyNumberFormat="1" applyFont="1" applyBorder="1" applyAlignment="1">
      <alignment horizontal="center"/>
    </xf>
    <xf numFmtId="165" fontId="11" fillId="7" borderId="14" xfId="1" applyNumberFormat="1" applyFont="1" applyFill="1" applyBorder="1"/>
    <xf numFmtId="14" fontId="14" fillId="0" borderId="0" xfId="0" applyNumberFormat="1" applyFont="1"/>
    <xf numFmtId="1" fontId="11" fillId="0" borderId="0" xfId="2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" fontId="14" fillId="0" borderId="0" xfId="2" applyNumberFormat="1" applyFont="1"/>
    <xf numFmtId="49" fontId="16" fillId="0" borderId="1" xfId="2" applyNumberFormat="1" applyFont="1" applyBorder="1" applyAlignment="1">
      <alignment horizontal="center"/>
    </xf>
    <xf numFmtId="49" fontId="17" fillId="0" borderId="2" xfId="2" applyNumberFormat="1" applyFont="1" applyBorder="1" applyAlignment="1">
      <alignment horizontal="center"/>
    </xf>
    <xf numFmtId="49" fontId="17" fillId="0" borderId="6" xfId="2" applyNumberFormat="1" applyFont="1" applyBorder="1" applyAlignment="1">
      <alignment horizontal="center"/>
    </xf>
    <xf numFmtId="49" fontId="16" fillId="0" borderId="9" xfId="2" applyNumberFormat="1" applyFont="1" applyBorder="1" applyAlignment="1">
      <alignment horizontal="center"/>
    </xf>
    <xf numFmtId="49" fontId="17" fillId="0" borderId="10" xfId="2" applyNumberFormat="1" applyFont="1" applyBorder="1" applyAlignment="1">
      <alignment horizontal="center"/>
    </xf>
    <xf numFmtId="49" fontId="17" fillId="0" borderId="11" xfId="2" applyNumberFormat="1" applyFont="1" applyBorder="1" applyAlignment="1">
      <alignment horizontal="center"/>
    </xf>
    <xf numFmtId="49" fontId="16" fillId="0" borderId="11" xfId="2" applyNumberFormat="1" applyFont="1" applyBorder="1" applyAlignment="1">
      <alignment horizontal="center"/>
    </xf>
    <xf numFmtId="49" fontId="18" fillId="0" borderId="9" xfId="2" applyNumberFormat="1" applyFont="1" applyBorder="1" applyAlignment="1">
      <alignment horizontal="center"/>
    </xf>
    <xf numFmtId="49" fontId="6" fillId="0" borderId="10" xfId="2" applyNumberFormat="1" applyFont="1" applyBorder="1" applyAlignment="1">
      <alignment horizontal="center"/>
    </xf>
    <xf numFmtId="49" fontId="6" fillId="0" borderId="11" xfId="2" applyNumberFormat="1" applyFont="1" applyBorder="1" applyAlignment="1">
      <alignment horizontal="center"/>
    </xf>
    <xf numFmtId="1" fontId="14" fillId="0" borderId="1" xfId="0" applyNumberFormat="1" applyFont="1" applyBorder="1"/>
    <xf numFmtId="1" fontId="19" fillId="0" borderId="2" xfId="2" applyNumberFormat="1" applyFont="1" applyBorder="1" applyAlignment="1">
      <alignment horizontal="center"/>
    </xf>
    <xf numFmtId="1" fontId="20" fillId="0" borderId="6" xfId="2" applyNumberFormat="1" applyFont="1" applyBorder="1" applyAlignment="1">
      <alignment horizontal="center"/>
    </xf>
    <xf numFmtId="1" fontId="14" fillId="0" borderId="1" xfId="2" applyNumberFormat="1" applyFont="1" applyBorder="1"/>
    <xf numFmtId="1" fontId="11" fillId="0" borderId="2" xfId="2" applyNumberFormat="1" applyFont="1" applyBorder="1" applyAlignment="1">
      <alignment horizontal="center"/>
    </xf>
    <xf numFmtId="1" fontId="14" fillId="0" borderId="1" xfId="2" applyNumberFormat="1" applyFont="1" applyBorder="1" applyAlignment="1">
      <alignment horizontal="right"/>
    </xf>
    <xf numFmtId="1" fontId="19" fillId="0" borderId="6" xfId="2" applyNumberFormat="1" applyFont="1" applyBorder="1" applyAlignment="1">
      <alignment horizontal="center"/>
    </xf>
    <xf numFmtId="1" fontId="2" fillId="0" borderId="3" xfId="0" applyNumberFormat="1" applyFont="1" applyBorder="1"/>
    <xf numFmtId="1" fontId="19" fillId="0" borderId="7" xfId="2" applyNumberFormat="1" applyFont="1" applyBorder="1" applyAlignment="1">
      <alignment horizontal="center"/>
    </xf>
    <xf numFmtId="1" fontId="2" fillId="0" borderId="1" xfId="0" applyNumberFormat="1" applyFont="1" applyBorder="1"/>
    <xf numFmtId="0" fontId="21" fillId="0" borderId="0" xfId="0" applyFont="1"/>
    <xf numFmtId="14" fontId="21" fillId="0" borderId="0" xfId="0" applyNumberFormat="1" applyFont="1"/>
    <xf numFmtId="1" fontId="22" fillId="0" borderId="3" xfId="0" applyNumberFormat="1" applyFont="1" applyBorder="1"/>
    <xf numFmtId="1" fontId="19" fillId="0" borderId="0" xfId="2" applyNumberFormat="1" applyFont="1" applyAlignment="1">
      <alignment horizontal="center"/>
    </xf>
    <xf numFmtId="1" fontId="20" fillId="0" borderId="7" xfId="2" applyNumberFormat="1" applyFont="1" applyBorder="1" applyAlignment="1">
      <alignment horizontal="center"/>
    </xf>
    <xf numFmtId="1" fontId="22" fillId="0" borderId="3" xfId="2" applyNumberFormat="1" applyFont="1" applyBorder="1"/>
    <xf numFmtId="1" fontId="23" fillId="0" borderId="3" xfId="0" applyNumberFormat="1" applyFont="1" applyBorder="1"/>
    <xf numFmtId="1" fontId="22" fillId="9" borderId="15" xfId="0" applyNumberFormat="1" applyFont="1" applyFill="1" applyBorder="1"/>
    <xf numFmtId="49" fontId="24" fillId="9" borderId="15" xfId="0" applyNumberFormat="1" applyFont="1" applyFill="1" applyBorder="1" applyAlignment="1">
      <alignment horizontal="center"/>
    </xf>
    <xf numFmtId="1" fontId="14" fillId="0" borderId="3" xfId="0" applyNumberFormat="1" applyFont="1" applyBorder="1"/>
    <xf numFmtId="1" fontId="14" fillId="0" borderId="3" xfId="2" applyNumberFormat="1" applyFont="1" applyBorder="1"/>
    <xf numFmtId="1" fontId="24" fillId="9" borderId="3" xfId="0" applyNumberFormat="1" applyFont="1" applyFill="1" applyBorder="1"/>
    <xf numFmtId="1" fontId="14" fillId="0" borderId="4" xfId="0" applyNumberFormat="1" applyFont="1" applyBorder="1"/>
    <xf numFmtId="1" fontId="19" fillId="0" borderId="5" xfId="2" applyNumberFormat="1" applyFont="1" applyBorder="1" applyAlignment="1">
      <alignment horizontal="center"/>
    </xf>
    <xf numFmtId="1" fontId="11" fillId="0" borderId="8" xfId="2" applyNumberFormat="1" applyFont="1" applyBorder="1" applyAlignment="1">
      <alignment horizontal="center"/>
    </xf>
    <xf numFmtId="1" fontId="14" fillId="0" borderId="4" xfId="2" applyNumberFormat="1" applyFont="1" applyBorder="1"/>
    <xf numFmtId="1" fontId="19" fillId="0" borderId="8" xfId="2" applyNumberFormat="1" applyFont="1" applyBorder="1" applyAlignment="1">
      <alignment horizontal="center"/>
    </xf>
    <xf numFmtId="1" fontId="14" fillId="0" borderId="0" xfId="0" applyNumberFormat="1" applyFont="1"/>
    <xf numFmtId="1" fontId="14" fillId="0" borderId="0" xfId="2" applyNumberFormat="1" applyFont="1"/>
    <xf numFmtId="2" fontId="19" fillId="0" borderId="0" xfId="2" applyNumberFormat="1" applyFont="1"/>
    <xf numFmtId="49" fontId="18" fillId="0" borderId="1" xfId="2" applyNumberFormat="1" applyFont="1" applyBorder="1" applyAlignment="1">
      <alignment horizontal="center"/>
    </xf>
    <xf numFmtId="49" fontId="6" fillId="0" borderId="2" xfId="2" applyNumberFormat="1" applyFont="1" applyBorder="1" applyAlignment="1">
      <alignment horizontal="center"/>
    </xf>
    <xf numFmtId="49" fontId="6" fillId="0" borderId="6" xfId="2" applyNumberFormat="1" applyFont="1" applyBorder="1" applyAlignment="1">
      <alignment horizontal="center"/>
    </xf>
    <xf numFmtId="49" fontId="25" fillId="0" borderId="9" xfId="2" applyNumberFormat="1" applyFont="1" applyBorder="1" applyAlignment="1">
      <alignment horizontal="center"/>
    </xf>
    <xf numFmtId="49" fontId="25" fillId="0" borderId="11" xfId="2" applyNumberFormat="1" applyFont="1" applyBorder="1" applyAlignment="1">
      <alignment horizontal="center"/>
    </xf>
    <xf numFmtId="14" fontId="21" fillId="0" borderId="0" xfId="2" applyNumberFormat="1" applyFont="1" applyAlignment="1">
      <alignment horizontal="center"/>
    </xf>
    <xf numFmtId="0" fontId="14" fillId="0" borderId="0" xfId="0" applyFont="1"/>
    <xf numFmtId="1" fontId="24" fillId="9" borderId="1" xfId="0" applyNumberFormat="1" applyFont="1" applyFill="1" applyBorder="1"/>
    <xf numFmtId="0" fontId="24" fillId="0" borderId="0" xfId="0" applyFont="1" applyAlignment="1">
      <alignment horizontal="left"/>
    </xf>
    <xf numFmtId="1" fontId="24" fillId="9" borderId="4" xfId="0" applyNumberFormat="1" applyFont="1" applyFill="1" applyBorder="1"/>
    <xf numFmtId="1" fontId="15" fillId="0" borderId="16" xfId="0" applyNumberFormat="1" applyFont="1" applyBorder="1" applyAlignment="1">
      <alignment horizontal="center"/>
    </xf>
    <xf numFmtId="1" fontId="26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" fillId="0" borderId="0" xfId="0" applyNumberFormat="1" applyFont="1"/>
    <xf numFmtId="1" fontId="25" fillId="0" borderId="0" xfId="0" applyNumberFormat="1" applyFont="1" applyAlignment="1">
      <alignment horizontal="center"/>
    </xf>
    <xf numFmtId="0" fontId="28" fillId="0" borderId="0" xfId="0" applyFont="1"/>
    <xf numFmtId="0" fontId="2" fillId="10" borderId="0" xfId="0" applyFont="1" applyFill="1"/>
    <xf numFmtId="1" fontId="15" fillId="10" borderId="0" xfId="0" applyNumberFormat="1" applyFont="1" applyFill="1" applyAlignment="1">
      <alignment horizontal="center"/>
    </xf>
    <xf numFmtId="1" fontId="26" fillId="10" borderId="0" xfId="0" applyNumberFormat="1" applyFont="1" applyFill="1" applyAlignment="1">
      <alignment horizontal="left"/>
    </xf>
    <xf numFmtId="0" fontId="27" fillId="10" borderId="0" xfId="0" applyFont="1" applyFill="1" applyAlignment="1">
      <alignment horizontal="center"/>
    </xf>
    <xf numFmtId="14" fontId="4" fillId="10" borderId="0" xfId="2" applyNumberFormat="1" applyFont="1" applyFill="1" applyAlignment="1">
      <alignment horizontal="center"/>
    </xf>
    <xf numFmtId="14" fontId="4" fillId="10" borderId="0" xfId="0" applyNumberFormat="1" applyFont="1" applyFill="1"/>
    <xf numFmtId="0" fontId="14" fillId="10" borderId="0" xfId="0" applyFont="1" applyFill="1"/>
    <xf numFmtId="0" fontId="3" fillId="10" borderId="0" xfId="0" applyFont="1" applyFill="1" applyAlignment="1">
      <alignment horizontal="center"/>
    </xf>
    <xf numFmtId="1" fontId="29" fillId="0" borderId="0" xfId="0" applyNumberFormat="1" applyFont="1" applyAlignment="1">
      <alignment horizontal="left"/>
    </xf>
    <xf numFmtId="0" fontId="30" fillId="0" borderId="0" xfId="0" applyFont="1"/>
    <xf numFmtId="167" fontId="2" fillId="0" borderId="0" xfId="0" applyNumberFormat="1" applyFont="1"/>
    <xf numFmtId="0" fontId="0" fillId="0" borderId="1" xfId="0" applyBorder="1"/>
    <xf numFmtId="0" fontId="2" fillId="0" borderId="2" xfId="0" applyFont="1" applyBorder="1"/>
    <xf numFmtId="0" fontId="28" fillId="0" borderId="2" xfId="0" applyFont="1" applyBorder="1"/>
    <xf numFmtId="0" fontId="0" fillId="0" borderId="3" xfId="0" applyBorder="1"/>
    <xf numFmtId="0" fontId="2" fillId="0" borderId="7" xfId="0" applyFont="1" applyBorder="1"/>
    <xf numFmtId="0" fontId="0" fillId="0" borderId="5" xfId="0" applyBorder="1"/>
    <xf numFmtId="0" fontId="2" fillId="0" borderId="8" xfId="0" applyFont="1" applyBorder="1"/>
    <xf numFmtId="0" fontId="0" fillId="0" borderId="9" xfId="0" applyBorder="1"/>
    <xf numFmtId="0" fontId="2" fillId="0" borderId="10" xfId="0" applyFont="1" applyBorder="1"/>
    <xf numFmtId="0" fontId="30" fillId="0" borderId="10" xfId="0" applyFont="1" applyBorder="1"/>
    <xf numFmtId="0" fontId="2" fillId="0" borderId="1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2" xfId="0" applyFont="1" applyBorder="1"/>
    <xf numFmtId="0" fontId="2" fillId="0" borderId="6" xfId="0" applyFont="1" applyBorder="1"/>
    <xf numFmtId="167" fontId="2" fillId="0" borderId="3" xfId="1" applyNumberFormat="1" applyFont="1" applyBorder="1"/>
    <xf numFmtId="167" fontId="2" fillId="0" borderId="0" xfId="1" applyNumberFormat="1" applyFont="1"/>
    <xf numFmtId="0" fontId="3" fillId="0" borderId="7" xfId="0" applyFont="1" applyBorder="1"/>
    <xf numFmtId="167" fontId="3" fillId="0" borderId="4" xfId="0" applyNumberFormat="1" applyFont="1" applyBorder="1"/>
    <xf numFmtId="167" fontId="3" fillId="0" borderId="5" xfId="0" applyNumberFormat="1" applyFont="1" applyBorder="1"/>
    <xf numFmtId="0" fontId="4" fillId="0" borderId="5" xfId="0" applyFont="1" applyBorder="1"/>
    <xf numFmtId="0" fontId="2" fillId="0" borderId="5" xfId="0" applyFont="1" applyBorder="1"/>
    <xf numFmtId="166" fontId="31" fillId="0" borderId="0" xfId="0" applyNumberFormat="1" applyFont="1" applyAlignment="1">
      <alignment horizontal="center"/>
    </xf>
    <xf numFmtId="1" fontId="33" fillId="0" borderId="9" xfId="0" applyNumberFormat="1" applyFont="1" applyBorder="1" applyAlignment="1">
      <alignment horizontal="left"/>
    </xf>
    <xf numFmtId="1" fontId="33" fillId="0" borderId="10" xfId="0" applyNumberFormat="1" applyFont="1" applyBorder="1" applyAlignment="1">
      <alignment horizontal="center"/>
    </xf>
    <xf numFmtId="166" fontId="3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66" fontId="34" fillId="9" borderId="11" xfId="0" applyNumberFormat="1" applyFont="1" applyFill="1" applyBorder="1" applyAlignment="1">
      <alignment horizontal="center"/>
    </xf>
    <xf numFmtId="1" fontId="35" fillId="9" borderId="9" xfId="0" applyNumberFormat="1" applyFont="1" applyFill="1" applyBorder="1" applyAlignment="1">
      <alignment horizontal="left"/>
    </xf>
    <xf numFmtId="1" fontId="33" fillId="0" borderId="0" xfId="0" applyNumberFormat="1" applyFont="1" applyAlignment="1">
      <alignment horizontal="left"/>
    </xf>
    <xf numFmtId="1" fontId="33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center"/>
    </xf>
    <xf numFmtId="166" fontId="34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center"/>
    </xf>
    <xf numFmtId="1" fontId="19" fillId="0" borderId="3" xfId="0" applyNumberFormat="1" applyFont="1" applyBorder="1"/>
    <xf numFmtId="1" fontId="17" fillId="0" borderId="0" xfId="2" applyNumberFormat="1" applyFont="1" applyAlignment="1">
      <alignment horizontal="center"/>
    </xf>
    <xf numFmtId="168" fontId="7" fillId="0" borderId="0" xfId="0" applyNumberFormat="1" applyFont="1"/>
    <xf numFmtId="0" fontId="3" fillId="0" borderId="0" xfId="0" applyFont="1"/>
    <xf numFmtId="166" fontId="7" fillId="0" borderId="6" xfId="0" applyNumberFormat="1" applyFont="1" applyBorder="1"/>
    <xf numFmtId="166" fontId="7" fillId="0" borderId="7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7" fillId="0" borderId="5" xfId="0" applyFont="1" applyBorder="1" applyAlignment="1">
      <alignment horizontal="center"/>
    </xf>
    <xf numFmtId="0" fontId="37" fillId="0" borderId="0" xfId="0" applyFont="1"/>
    <xf numFmtId="1" fontId="16" fillId="11" borderId="16" xfId="0" applyNumberFormat="1" applyFont="1" applyFill="1" applyBorder="1" applyAlignment="1">
      <alignment horizontal="center"/>
    </xf>
    <xf numFmtId="14" fontId="7" fillId="0" borderId="0" xfId="2" applyNumberFormat="1" applyFont="1" applyAlignment="1">
      <alignment horizontal="left"/>
    </xf>
    <xf numFmtId="14" fontId="38" fillId="0" borderId="0" xfId="2" applyNumberFormat="1" applyFont="1" applyAlignment="1">
      <alignment horizontal="center"/>
    </xf>
    <xf numFmtId="14" fontId="38" fillId="0" borderId="0" xfId="0" applyNumberFormat="1" applyFont="1"/>
    <xf numFmtId="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66" fontId="14" fillId="0" borderId="0" xfId="0" applyNumberFormat="1" applyFont="1"/>
    <xf numFmtId="2" fontId="14" fillId="0" borderId="0" xfId="0" applyNumberFormat="1" applyFont="1"/>
    <xf numFmtId="2" fontId="14" fillId="8" borderId="16" xfId="0" applyNumberFormat="1" applyFont="1" applyFill="1" applyBorder="1" applyAlignment="1">
      <alignment horizontal="center"/>
    </xf>
    <xf numFmtId="166" fontId="14" fillId="8" borderId="16" xfId="0" applyNumberFormat="1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left"/>
    </xf>
    <xf numFmtId="14" fontId="14" fillId="10" borderId="0" xfId="0" applyNumberFormat="1" applyFont="1" applyFill="1" applyAlignment="1">
      <alignment horizontal="center"/>
    </xf>
    <xf numFmtId="169" fontId="14" fillId="0" borderId="0" xfId="0" applyNumberFormat="1" applyFont="1"/>
    <xf numFmtId="1" fontId="14" fillId="1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10" borderId="0" xfId="0" applyNumberFormat="1" applyFont="1" applyFill="1"/>
    <xf numFmtId="1" fontId="15" fillId="10" borderId="0" xfId="0" applyNumberFormat="1" applyFont="1" applyFill="1" applyAlignment="1">
      <alignment horizontal="center"/>
    </xf>
    <xf numFmtId="14" fontId="40" fillId="0" borderId="17" xfId="2" applyNumberFormat="1" applyFont="1" applyBorder="1" applyAlignment="1">
      <alignment horizontal="center"/>
    </xf>
    <xf numFmtId="14" fontId="4" fillId="0" borderId="18" xfId="2" applyNumberFormat="1" applyFont="1" applyBorder="1" applyAlignment="1">
      <alignment horizontal="center"/>
    </xf>
    <xf numFmtId="1" fontId="22" fillId="0" borderId="19" xfId="0" applyNumberFormat="1" applyFont="1" applyBorder="1"/>
    <xf numFmtId="1" fontId="25" fillId="0" borderId="18" xfId="2" applyNumberFormat="1" applyFont="1" applyBorder="1" applyAlignment="1">
      <alignment horizontal="center"/>
    </xf>
    <xf numFmtId="1" fontId="19" fillId="0" borderId="20" xfId="2" applyNumberFormat="1" applyFont="1" applyBorder="1" applyAlignment="1">
      <alignment horizontal="center"/>
    </xf>
    <xf numFmtId="1" fontId="27" fillId="0" borderId="18" xfId="0" applyNumberFormat="1" applyFont="1" applyBorder="1" applyAlignment="1">
      <alignment horizontal="center"/>
    </xf>
    <xf numFmtId="14" fontId="40" fillId="0" borderId="18" xfId="2" applyNumberFormat="1" applyFont="1" applyBorder="1" applyAlignment="1">
      <alignment horizontal="center"/>
    </xf>
    <xf numFmtId="1" fontId="39" fillId="0" borderId="19" xfId="2" applyNumberFormat="1" applyFont="1" applyBorder="1"/>
    <xf numFmtId="1" fontId="39" fillId="0" borderId="18" xfId="2" applyNumberFormat="1" applyFont="1" applyBorder="1" applyAlignment="1">
      <alignment horizontal="center"/>
    </xf>
    <xf numFmtId="1" fontId="39" fillId="0" borderId="19" xfId="0" applyNumberFormat="1" applyFont="1" applyBorder="1"/>
    <xf numFmtId="1" fontId="19" fillId="0" borderId="18" xfId="2" applyNumberFormat="1" applyFont="1" applyBorder="1" applyAlignment="1">
      <alignment horizontal="center"/>
    </xf>
    <xf numFmtId="1" fontId="27" fillId="0" borderId="21" xfId="0" applyNumberFormat="1" applyFont="1" applyBorder="1" applyAlignment="1">
      <alignment horizontal="center"/>
    </xf>
    <xf numFmtId="14" fontId="41" fillId="0" borderId="18" xfId="2" applyNumberFormat="1" applyFont="1" applyBorder="1" applyAlignment="1">
      <alignment horizontal="center"/>
    </xf>
    <xf numFmtId="1" fontId="42" fillId="0" borderId="19" xfId="2" applyNumberFormat="1" applyFont="1" applyBorder="1"/>
    <xf numFmtId="1" fontId="42" fillId="0" borderId="18" xfId="2" applyNumberFormat="1" applyFont="1" applyBorder="1" applyAlignment="1">
      <alignment horizontal="center"/>
    </xf>
    <xf numFmtId="1" fontId="43" fillId="0" borderId="20" xfId="2" applyNumberFormat="1" applyFont="1" applyBorder="1" applyAlignment="1">
      <alignment horizontal="center"/>
    </xf>
    <xf numFmtId="1" fontId="42" fillId="0" borderId="19" xfId="0" applyNumberFormat="1" applyFont="1" applyBorder="1"/>
    <xf numFmtId="1" fontId="44" fillId="0" borderId="19" xfId="0" applyNumberFormat="1" applyFont="1" applyBorder="1"/>
    <xf numFmtId="1" fontId="44" fillId="0" borderId="18" xfId="2" applyNumberFormat="1" applyFont="1" applyBorder="1" applyAlignment="1">
      <alignment horizontal="center"/>
    </xf>
    <xf numFmtId="1" fontId="3" fillId="8" borderId="0" xfId="0" applyNumberFormat="1" applyFont="1" applyFill="1" applyBorder="1"/>
    <xf numFmtId="49" fontId="5" fillId="0" borderId="0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1" fontId="19" fillId="0" borderId="0" xfId="2" applyNumberFormat="1" applyFont="1" applyBorder="1" applyAlignment="1">
      <alignment horizontal="center"/>
    </xf>
    <xf numFmtId="1" fontId="3" fillId="8" borderId="0" xfId="0" applyNumberFormat="1" applyFont="1" applyFill="1" applyBorder="1" applyAlignment="1">
      <alignment horizontal="center"/>
    </xf>
    <xf numFmtId="1" fontId="16" fillId="0" borderId="0" xfId="2" applyNumberFormat="1" applyFont="1" applyBorder="1" applyAlignment="1">
      <alignment horizontal="center"/>
    </xf>
    <xf numFmtId="1" fontId="16" fillId="0" borderId="18" xfId="2" applyNumberFormat="1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16" fontId="0" fillId="0" borderId="0" xfId="0" applyNumberFormat="1"/>
    <xf numFmtId="0" fontId="45" fillId="0" borderId="0" xfId="0" applyFont="1"/>
    <xf numFmtId="0" fontId="45" fillId="0" borderId="6" xfId="0" applyFont="1" applyBorder="1"/>
    <xf numFmtId="0" fontId="45" fillId="0" borderId="7" xfId="0" applyFont="1" applyBorder="1"/>
    <xf numFmtId="0" fontId="45" fillId="0" borderId="2" xfId="0" applyFont="1" applyBorder="1"/>
    <xf numFmtId="0" fontId="45" fillId="0" borderId="0" xfId="0" applyFont="1" applyBorder="1"/>
    <xf numFmtId="0" fontId="45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45" fillId="12" borderId="23" xfId="0" applyFont="1" applyFill="1" applyBorder="1"/>
    <xf numFmtId="0" fontId="45" fillId="12" borderId="23" xfId="0" applyFont="1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46" fillId="12" borderId="22" xfId="0" applyFont="1" applyFill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Fill="1" applyBorder="1"/>
    <xf numFmtId="0" fontId="47" fillId="0" borderId="0" xfId="0" applyFont="1"/>
    <xf numFmtId="0" fontId="47" fillId="0" borderId="6" xfId="0" applyFont="1" applyBorder="1"/>
    <xf numFmtId="0" fontId="47" fillId="0" borderId="7" xfId="0" applyFont="1" applyBorder="1"/>
    <xf numFmtId="0" fontId="0" fillId="9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2" fillId="0" borderId="3" xfId="0" applyFont="1" applyBorder="1"/>
    <xf numFmtId="0" fontId="0" fillId="0" borderId="4" xfId="0" applyFill="1" applyBorder="1" applyAlignment="1">
      <alignment horizontal="center"/>
    </xf>
    <xf numFmtId="0" fontId="22" fillId="0" borderId="4" xfId="0" applyFont="1" applyBorder="1"/>
    <xf numFmtId="0" fontId="46" fillId="0" borderId="8" xfId="0" applyFont="1" applyBorder="1"/>
    <xf numFmtId="1" fontId="14" fillId="0" borderId="0" xfId="0" applyNumberFormat="1" applyFont="1" applyBorder="1"/>
    <xf numFmtId="0" fontId="27" fillId="0" borderId="0" xfId="0" applyFont="1" applyBorder="1" applyAlignment="1">
      <alignment horizontal="center"/>
    </xf>
    <xf numFmtId="0" fontId="48" fillId="0" borderId="9" xfId="0" applyFont="1" applyBorder="1"/>
    <xf numFmtId="0" fontId="48" fillId="0" borderId="11" xfId="0" applyFont="1" applyBorder="1"/>
    <xf numFmtId="1" fontId="32" fillId="0" borderId="0" xfId="0" applyNumberFormat="1" applyFont="1" applyAlignment="1">
      <alignment horizontal="center"/>
    </xf>
    <xf numFmtId="14" fontId="35" fillId="0" borderId="0" xfId="0" applyNumberFormat="1" applyFont="1" applyAlignment="1">
      <alignment horizontal="center"/>
    </xf>
    <xf numFmtId="1" fontId="35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1" fontId="0" fillId="0" borderId="0" xfId="0" applyNumberFormat="1"/>
    <xf numFmtId="170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14" fillId="0" borderId="0" xfId="0" applyNumberFormat="1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169" fontId="3" fillId="0" borderId="0" xfId="0" applyNumberFormat="1" applyFont="1" applyAlignment="1">
      <alignment horizontal="center" vertical="top"/>
    </xf>
    <xf numFmtId="1" fontId="0" fillId="0" borderId="0" xfId="0" applyNumberFormat="1" applyFont="1" applyAlignment="1">
      <alignment horizontal="center"/>
    </xf>
    <xf numFmtId="1" fontId="22" fillId="0" borderId="17" xfId="2" applyNumberFormat="1" applyFont="1" applyBorder="1"/>
    <xf numFmtId="1" fontId="21" fillId="0" borderId="21" xfId="2" applyNumberFormat="1" applyFont="1" applyBorder="1" applyAlignment="1">
      <alignment horizontal="center"/>
    </xf>
    <xf numFmtId="1" fontId="14" fillId="0" borderId="3" xfId="2" applyNumberFormat="1" applyFont="1" applyBorder="1" applyAlignment="1">
      <alignment horizontal="center"/>
    </xf>
    <xf numFmtId="1" fontId="22" fillId="0" borderId="17" xfId="0" applyNumberFormat="1" applyFont="1" applyBorder="1"/>
    <xf numFmtId="1" fontId="16" fillId="11" borderId="12" xfId="0" applyNumberFormat="1" applyFont="1" applyFill="1" applyBorder="1" applyAlignment="1">
      <alignment horizontal="center"/>
    </xf>
    <xf numFmtId="166" fontId="49" fillId="0" borderId="15" xfId="0" applyNumberFormat="1" applyFont="1" applyBorder="1" applyAlignment="1">
      <alignment horizontal="center"/>
    </xf>
    <xf numFmtId="1" fontId="22" fillId="0" borderId="0" xfId="0" quotePrefix="1" applyNumberFormat="1" applyFont="1" applyAlignment="1">
      <alignment horizontal="center"/>
    </xf>
    <xf numFmtId="169" fontId="1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" fontId="22" fillId="0" borderId="16" xfId="2" applyNumberFormat="1" applyFont="1" applyBorder="1"/>
    <xf numFmtId="14" fontId="40" fillId="0" borderId="0" xfId="0" applyNumberFormat="1" applyFont="1" applyBorder="1" applyAlignment="1">
      <alignment horizontal="center"/>
    </xf>
    <xf numFmtId="1" fontId="3" fillId="8" borderId="9" xfId="0" applyNumberFormat="1" applyFont="1" applyFill="1" applyBorder="1" applyAlignment="1">
      <alignment horizontal="center"/>
    </xf>
    <xf numFmtId="1" fontId="3" fillId="8" borderId="10" xfId="0" applyNumberFormat="1" applyFont="1" applyFill="1" applyBorder="1" applyAlignment="1">
      <alignment horizontal="center"/>
    </xf>
    <xf numFmtId="1" fontId="3" fillId="8" borderId="11" xfId="0" applyNumberFormat="1" applyFont="1" applyFill="1" applyBorder="1" applyAlignment="1">
      <alignment horizontal="center"/>
    </xf>
    <xf numFmtId="1" fontId="15" fillId="10" borderId="0" xfId="0" applyNumberFormat="1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4" fontId="40" fillId="0" borderId="9" xfId="2" applyNumberFormat="1" applyFont="1" applyBorder="1" applyAlignment="1">
      <alignment horizontal="center"/>
    </xf>
    <xf numFmtId="14" fontId="40" fillId="0" borderId="11" xfId="2" applyNumberFormat="1" applyFont="1" applyBorder="1" applyAlignment="1">
      <alignment horizontal="center"/>
    </xf>
    <xf numFmtId="2" fontId="4" fillId="0" borderId="0" xfId="2" applyNumberFormat="1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2" fontId="6" fillId="0" borderId="0" xfId="2" applyNumberFormat="1" applyFont="1" applyAlignment="1">
      <alignment horizontal="center"/>
    </xf>
    <xf numFmtId="2" fontId="21" fillId="0" borderId="0" xfId="2" applyNumberFormat="1" applyFont="1" applyAlignment="1">
      <alignment horizontal="center"/>
    </xf>
    <xf numFmtId="2" fontId="38" fillId="0" borderId="0" xfId="2" applyNumberFormat="1" applyFont="1" applyAlignment="1">
      <alignment horizontal="center"/>
    </xf>
    <xf numFmtId="2" fontId="4" fillId="10" borderId="0" xfId="2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433552</xdr:colOff>
      <xdr:row>156</xdr:row>
      <xdr:rowOff>98863</xdr:rowOff>
    </xdr:from>
    <xdr:to>
      <xdr:col>35</xdr:col>
      <xdr:colOff>75544</xdr:colOff>
      <xdr:row>156</xdr:row>
      <xdr:rowOff>105103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78028C0-ACC2-4E12-81F9-30514AA4DC87}"/>
            </a:ext>
          </a:extLst>
        </xdr:cNvPr>
        <xdr:cNvCxnSpPr/>
      </xdr:nvCxnSpPr>
      <xdr:spPr>
        <a:xfrm flipH="1">
          <a:off x="21316293" y="29895691"/>
          <a:ext cx="239768" cy="62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252"/>
  <sheetViews>
    <sheetView tabSelected="1" zoomScale="85" zoomScaleNormal="85" workbookViewId="0">
      <pane ySplit="890" topLeftCell="A146" activePane="bottomLeft"/>
      <selection activeCell="P1" sqref="P1:P1048576"/>
      <selection pane="bottomLeft" activeCell="P161" sqref="P161"/>
    </sheetView>
  </sheetViews>
  <sheetFormatPr baseColWidth="10" defaultColWidth="9" defaultRowHeight="15" x14ac:dyDescent="0.25"/>
  <cols>
    <col min="1" max="2" width="9" style="1"/>
    <col min="3" max="3" width="14.85546875" style="1" customWidth="1"/>
    <col min="4" max="4" width="10.42578125" style="1" bestFit="1" customWidth="1"/>
    <col min="5" max="7" width="9" style="1"/>
    <col min="8" max="8" width="11" style="108" customWidth="1"/>
    <col min="9" max="9" width="11" style="1" bestFit="1" customWidth="1"/>
    <col min="10" max="10" width="12.28515625" style="1" customWidth="1"/>
    <col min="11" max="11" width="14" style="1" customWidth="1"/>
    <col min="12" max="13" width="9" style="1"/>
    <col min="14" max="14" width="11.28515625" style="1" customWidth="1"/>
    <col min="15" max="15" width="11" style="1" bestFit="1" customWidth="1"/>
    <col min="16" max="16" width="11" style="286" customWidth="1"/>
    <col min="17" max="18" width="13.7109375" style="1" customWidth="1"/>
    <col min="19" max="19" width="12.140625" style="1" bestFit="1" customWidth="1"/>
    <col min="20" max="21" width="10" style="1" customWidth="1"/>
    <col min="22" max="24" width="12.140625" style="1" bestFit="1" customWidth="1"/>
    <col min="25" max="25" width="12.7109375" style="1" customWidth="1"/>
    <col min="26" max="26" width="8.85546875" style="1" customWidth="1"/>
    <col min="27" max="27" width="11.28515625" style="11" bestFit="1" customWidth="1"/>
    <col min="28" max="29" width="9.140625" style="1" bestFit="1" customWidth="1"/>
    <col min="30" max="30" width="9" style="1"/>
    <col min="31" max="31" width="10.140625" style="1" customWidth="1"/>
    <col min="32" max="32" width="10.42578125" style="11" bestFit="1" customWidth="1"/>
    <col min="33" max="35" width="9" style="1"/>
    <col min="36" max="36" width="8.7109375" style="1" customWidth="1"/>
    <col min="37" max="37" width="10.7109375" style="1" bestFit="1" customWidth="1"/>
    <col min="38" max="42" width="9" style="1"/>
    <col min="43" max="44" width="9" style="18"/>
    <col min="45" max="45" width="9" style="18" customWidth="1"/>
    <col min="46" max="46" width="12.85546875" style="184" customWidth="1"/>
    <col min="47" max="48" width="12.85546875" style="183" customWidth="1"/>
    <col min="49" max="49" width="12.85546875" style="102" customWidth="1"/>
    <col min="50" max="50" width="5.5703125" style="180" bestFit="1" customWidth="1"/>
    <col min="51" max="51" width="11.85546875" style="102" customWidth="1"/>
    <col min="52" max="16384" width="9" style="1"/>
  </cols>
  <sheetData>
    <row r="2" spans="3:51" x14ac:dyDescent="0.25">
      <c r="E2" s="2"/>
      <c r="F2" s="3" t="s">
        <v>12</v>
      </c>
      <c r="G2" s="4"/>
      <c r="K2" s="5"/>
      <c r="L2" s="6" t="s">
        <v>13</v>
      </c>
      <c r="M2" s="7"/>
      <c r="Q2" s="8"/>
      <c r="R2" s="9" t="s">
        <v>14</v>
      </c>
      <c r="S2" s="10"/>
      <c r="W2" s="5"/>
      <c r="X2" s="6" t="s">
        <v>11</v>
      </c>
      <c r="Y2" s="7"/>
      <c r="AB2" s="8"/>
      <c r="AC2" s="9" t="s">
        <v>15</v>
      </c>
      <c r="AD2" s="10"/>
      <c r="AG2" s="12"/>
      <c r="AH2" s="13" t="s">
        <v>16</v>
      </c>
      <c r="AI2" s="14"/>
      <c r="AL2" s="15"/>
      <c r="AM2" s="16" t="s">
        <v>17</v>
      </c>
      <c r="AN2" s="17"/>
      <c r="AO2" s="212"/>
      <c r="AP2" s="212"/>
    </row>
    <row r="4" spans="3:51" x14ac:dyDescent="0.25">
      <c r="C4" s="20"/>
      <c r="D4" s="20"/>
      <c r="E4" s="21" t="s">
        <v>0</v>
      </c>
      <c r="F4" s="22" t="s">
        <v>1</v>
      </c>
      <c r="G4" s="22" t="s">
        <v>2</v>
      </c>
      <c r="K4" s="21" t="s">
        <v>0</v>
      </c>
      <c r="L4" s="22" t="s">
        <v>1</v>
      </c>
      <c r="M4" s="22" t="s">
        <v>2</v>
      </c>
      <c r="O4" s="23"/>
      <c r="P4" s="287"/>
      <c r="Q4" s="24" t="s">
        <v>0</v>
      </c>
      <c r="R4" s="25" t="s">
        <v>1</v>
      </c>
      <c r="S4" s="26" t="s">
        <v>2</v>
      </c>
      <c r="W4" s="21" t="s">
        <v>0</v>
      </c>
      <c r="X4" s="22" t="s">
        <v>1</v>
      </c>
      <c r="Y4" s="22" t="s">
        <v>2</v>
      </c>
      <c r="AB4" s="24" t="s">
        <v>0</v>
      </c>
      <c r="AC4" s="25" t="s">
        <v>1</v>
      </c>
      <c r="AD4" s="26" t="s">
        <v>2</v>
      </c>
      <c r="AG4" s="24" t="s">
        <v>0</v>
      </c>
      <c r="AK4" s="27"/>
      <c r="AL4" s="24" t="s">
        <v>0</v>
      </c>
      <c r="AM4" s="25" t="s">
        <v>1</v>
      </c>
      <c r="AN4" s="26" t="s">
        <v>2</v>
      </c>
      <c r="AO4" s="213"/>
      <c r="AP4" s="213"/>
    </row>
    <row r="5" spans="3:51" x14ac:dyDescent="0.25">
      <c r="C5" s="28">
        <v>40360</v>
      </c>
      <c r="D5" s="28"/>
      <c r="E5" s="29" t="s">
        <v>3</v>
      </c>
      <c r="F5" s="30">
        <f>IF(E7&lt;&gt;0,E7-E5,"")</f>
        <v>0</v>
      </c>
      <c r="G5" s="30">
        <f>IF(E6&lt;&gt;0,E6-E5,"")</f>
        <v>0</v>
      </c>
      <c r="I5" s="28">
        <f>C5</f>
        <v>40360</v>
      </c>
      <c r="J5" s="28"/>
      <c r="K5" s="29" t="s">
        <v>9</v>
      </c>
      <c r="L5" s="31">
        <f>K7-K5</f>
        <v>-198</v>
      </c>
      <c r="M5" s="30">
        <f>IF(K7&lt;&gt;0,K7-K5,"")</f>
        <v>-198</v>
      </c>
      <c r="O5" s="28">
        <f>C5</f>
        <v>40360</v>
      </c>
      <c r="P5" s="284"/>
      <c r="Q5" s="32">
        <v>17370</v>
      </c>
      <c r="R5" s="31">
        <f>Q7-Q5</f>
        <v>280</v>
      </c>
      <c r="S5" s="33">
        <f>IF(Q7&lt;&gt;0,Q7-Q5,"")</f>
        <v>280</v>
      </c>
      <c r="V5" s="28">
        <f>C5</f>
        <v>40360</v>
      </c>
      <c r="W5" s="29" t="s">
        <v>10</v>
      </c>
      <c r="X5" s="31">
        <f>W7-W5</f>
        <v>37</v>
      </c>
      <c r="Y5" s="30">
        <f>IF(W7&lt;&gt;0,W7-W5,"")</f>
        <v>37</v>
      </c>
      <c r="AA5" s="34">
        <f>C5</f>
        <v>40360</v>
      </c>
      <c r="AB5" s="32">
        <v>16610</v>
      </c>
      <c r="AC5" s="31">
        <f>AB7-AB5</f>
        <v>30</v>
      </c>
      <c r="AD5" s="33">
        <f>IF(AB7&lt;&gt;0,AB7-AB5,"")</f>
        <v>30</v>
      </c>
      <c r="AF5" s="34">
        <f>C5</f>
        <v>40360</v>
      </c>
      <c r="AG5" s="35"/>
      <c r="AK5" s="28">
        <f>C5</f>
        <v>40360</v>
      </c>
      <c r="AL5" s="21"/>
      <c r="AM5" s="22"/>
      <c r="AN5" s="36"/>
      <c r="AO5" s="213"/>
      <c r="AP5" s="213"/>
    </row>
    <row r="6" spans="3:51" x14ac:dyDescent="0.25">
      <c r="C6" s="1" t="s">
        <v>18</v>
      </c>
      <c r="E6" s="37">
        <v>83004</v>
      </c>
      <c r="F6" s="38"/>
      <c r="G6" s="38"/>
      <c r="I6" s="28" t="str">
        <f t="shared" ref="I6:I74" si="0">C6</f>
        <v xml:space="preserve">  </v>
      </c>
      <c r="J6" s="28"/>
      <c r="K6" s="37">
        <v>48658</v>
      </c>
      <c r="L6" s="39"/>
      <c r="M6" s="38"/>
      <c r="O6" s="28" t="str">
        <f t="shared" ref="O6:O74" si="1">C6</f>
        <v xml:space="preserve">  </v>
      </c>
      <c r="P6" s="284"/>
      <c r="Q6" s="37">
        <v>17370</v>
      </c>
      <c r="R6" s="39"/>
      <c r="S6" s="40"/>
      <c r="V6" s="28" t="str">
        <f t="shared" ref="V6:V74" si="2">C6</f>
        <v xml:space="preserve">  </v>
      </c>
      <c r="W6" s="37"/>
      <c r="X6" s="39"/>
      <c r="Y6" s="38"/>
      <c r="AA6" s="34" t="str">
        <f t="shared" ref="AA6:AA74" si="3">C6</f>
        <v xml:space="preserve">  </v>
      </c>
      <c r="AB6" s="37"/>
      <c r="AC6" s="39"/>
      <c r="AD6" s="40"/>
      <c r="AF6" s="34" t="str">
        <f t="shared" ref="AF6:AF74" si="4">C6</f>
        <v xml:space="preserve">  </v>
      </c>
      <c r="AG6" s="41"/>
      <c r="AK6" s="28" t="str">
        <f t="shared" ref="AK6:AK74" si="5">C6</f>
        <v xml:space="preserve">  </v>
      </c>
      <c r="AL6" s="37">
        <v>2150</v>
      </c>
      <c r="AM6" s="39">
        <f>AL7-AL6</f>
        <v>250</v>
      </c>
      <c r="AN6" s="42">
        <f t="shared" ref="AN6:AN17" si="6">AL7-AL6</f>
        <v>250</v>
      </c>
      <c r="AO6" s="214"/>
      <c r="AP6" s="214"/>
    </row>
    <row r="7" spans="3:51" x14ac:dyDescent="0.25">
      <c r="C7" s="28">
        <v>40391</v>
      </c>
      <c r="D7" s="28"/>
      <c r="E7" s="37">
        <v>83004</v>
      </c>
      <c r="F7" s="38">
        <f>IF(E8&lt;&gt;0,E8-E5,"")</f>
        <v>0</v>
      </c>
      <c r="G7" s="38">
        <f t="shared" ref="G7:G17" si="7">IF(E8&lt;&gt;0,E8-E7,"")</f>
        <v>0</v>
      </c>
      <c r="I7" s="28">
        <f t="shared" si="0"/>
        <v>40391</v>
      </c>
      <c r="J7" s="28"/>
      <c r="K7" s="37">
        <v>48500</v>
      </c>
      <c r="L7" s="39">
        <f>K8-K5</f>
        <v>-248</v>
      </c>
      <c r="M7" s="38">
        <f t="shared" ref="M7:M17" si="8">IF(K8&lt;&gt;0,K8-K7,"")</f>
        <v>-50</v>
      </c>
      <c r="O7" s="28">
        <f t="shared" si="1"/>
        <v>40391</v>
      </c>
      <c r="P7" s="284"/>
      <c r="Q7" s="37">
        <v>17650</v>
      </c>
      <c r="R7" s="39">
        <f>Q8-Q5</f>
        <v>577</v>
      </c>
      <c r="S7" s="40">
        <f t="shared" ref="S7:S17" si="9">IF(Q8&lt;&gt;0,Q8-Q7,"")</f>
        <v>297</v>
      </c>
      <c r="V7" s="28">
        <f t="shared" si="2"/>
        <v>40391</v>
      </c>
      <c r="W7" s="37">
        <v>6745</v>
      </c>
      <c r="X7" s="39">
        <f>W8-W5</f>
        <v>107</v>
      </c>
      <c r="Y7" s="38">
        <f t="shared" ref="Y7:Y17" si="10">IF(W8&lt;&gt;0,W8-W7,"")</f>
        <v>70</v>
      </c>
      <c r="AA7" s="34">
        <f t="shared" si="3"/>
        <v>40391</v>
      </c>
      <c r="AB7" s="37">
        <v>16640</v>
      </c>
      <c r="AC7" s="39">
        <f>AB8-AB5</f>
        <v>66</v>
      </c>
      <c r="AD7" s="40">
        <f t="shared" ref="AD7:AD17" si="11">IF(AB8&lt;&gt;0,AB8-AB7,"")</f>
        <v>36</v>
      </c>
      <c r="AF7" s="34">
        <f t="shared" si="4"/>
        <v>40391</v>
      </c>
      <c r="AG7" s="43"/>
      <c r="AK7" s="28">
        <f t="shared" si="5"/>
        <v>40391</v>
      </c>
      <c r="AL7" s="37">
        <v>2400</v>
      </c>
      <c r="AM7" s="39">
        <f>AL8-AL6</f>
        <v>500</v>
      </c>
      <c r="AN7" s="42">
        <f t="shared" si="6"/>
        <v>250</v>
      </c>
      <c r="AO7" s="214"/>
      <c r="AP7" s="214"/>
    </row>
    <row r="8" spans="3:51" x14ac:dyDescent="0.25">
      <c r="C8" s="28">
        <v>40422</v>
      </c>
      <c r="D8" s="28"/>
      <c r="E8" s="44">
        <v>83004</v>
      </c>
      <c r="F8" s="38">
        <f>IF(E9&lt;&gt;0,E9-E5,"")</f>
        <v>0</v>
      </c>
      <c r="G8" s="38">
        <f t="shared" si="7"/>
        <v>0</v>
      </c>
      <c r="I8" s="28">
        <f t="shared" si="0"/>
        <v>40422</v>
      </c>
      <c r="J8" s="28"/>
      <c r="K8" s="44">
        <v>48450</v>
      </c>
      <c r="L8" s="39">
        <f>K9-K5</f>
        <v>-198</v>
      </c>
      <c r="M8" s="38">
        <f t="shared" si="8"/>
        <v>50</v>
      </c>
      <c r="O8" s="28">
        <f t="shared" si="1"/>
        <v>40422</v>
      </c>
      <c r="P8" s="284"/>
      <c r="Q8" s="44">
        <v>17947</v>
      </c>
      <c r="R8" s="39">
        <f>Q9-Q5</f>
        <v>880</v>
      </c>
      <c r="S8" s="40">
        <f t="shared" si="9"/>
        <v>303</v>
      </c>
      <c r="V8" s="28">
        <f t="shared" si="2"/>
        <v>40422</v>
      </c>
      <c r="W8" s="44">
        <v>6815</v>
      </c>
      <c r="X8" s="39">
        <f>W9-W5</f>
        <v>172</v>
      </c>
      <c r="Y8" s="38">
        <f t="shared" si="10"/>
        <v>65</v>
      </c>
      <c r="AA8" s="34">
        <f t="shared" si="3"/>
        <v>40422</v>
      </c>
      <c r="AB8" s="44">
        <v>16676</v>
      </c>
      <c r="AC8" s="39">
        <f>AB9-AB5</f>
        <v>126</v>
      </c>
      <c r="AD8" s="40">
        <f t="shared" si="11"/>
        <v>60</v>
      </c>
      <c r="AF8" s="34">
        <f t="shared" si="4"/>
        <v>40422</v>
      </c>
      <c r="AG8" s="43"/>
      <c r="AK8" s="28">
        <f t="shared" si="5"/>
        <v>40422</v>
      </c>
      <c r="AL8" s="44">
        <v>2650</v>
      </c>
      <c r="AM8" s="39">
        <f>AL9-AL6</f>
        <v>620</v>
      </c>
      <c r="AN8" s="42">
        <f t="shared" si="6"/>
        <v>120</v>
      </c>
      <c r="AO8" s="214"/>
      <c r="AP8" s="214"/>
    </row>
    <row r="9" spans="3:51" x14ac:dyDescent="0.25">
      <c r="C9" s="28">
        <v>40452</v>
      </c>
      <c r="D9" s="28"/>
      <c r="E9" s="37">
        <v>83004</v>
      </c>
      <c r="F9" s="38">
        <f>IF(E10&lt;&gt;0,E10-E5,"")</f>
        <v>0</v>
      </c>
      <c r="G9" s="38">
        <f t="shared" si="7"/>
        <v>0</v>
      </c>
      <c r="I9" s="28">
        <f t="shared" si="0"/>
        <v>40452</v>
      </c>
      <c r="J9" s="28"/>
      <c r="K9" s="37">
        <v>48500</v>
      </c>
      <c r="L9" s="39">
        <f>K10-$M89</f>
        <v>48695</v>
      </c>
      <c r="M9" s="38">
        <f t="shared" si="8"/>
        <v>70</v>
      </c>
      <c r="O9" s="28">
        <f t="shared" si="1"/>
        <v>40452</v>
      </c>
      <c r="P9" s="284"/>
      <c r="Q9" s="37">
        <v>18250</v>
      </c>
      <c r="R9" s="39">
        <f>Q10-Q5</f>
        <v>1215</v>
      </c>
      <c r="S9" s="40">
        <f t="shared" si="9"/>
        <v>335</v>
      </c>
      <c r="V9" s="28">
        <f t="shared" si="2"/>
        <v>40452</v>
      </c>
      <c r="W9" s="37">
        <v>6880</v>
      </c>
      <c r="X9" s="39">
        <f>W10-$C38</f>
        <v>-34146</v>
      </c>
      <c r="Y9" s="38">
        <f t="shared" si="10"/>
        <v>65</v>
      </c>
      <c r="AA9" s="34">
        <f t="shared" si="3"/>
        <v>40452</v>
      </c>
      <c r="AB9" s="37">
        <v>16736</v>
      </c>
      <c r="AC9" s="39">
        <f>AB10-AB5</f>
        <v>260</v>
      </c>
      <c r="AD9" s="40">
        <f>IF(AB10&lt;&gt;0,AB10-AB9,"")</f>
        <v>134</v>
      </c>
      <c r="AF9" s="34">
        <f t="shared" si="4"/>
        <v>40452</v>
      </c>
      <c r="AG9" s="43"/>
      <c r="AK9" s="28">
        <f t="shared" si="5"/>
        <v>40452</v>
      </c>
      <c r="AL9" s="37">
        <v>2770</v>
      </c>
      <c r="AM9" s="39">
        <f>AL10-AL6</f>
        <v>740</v>
      </c>
      <c r="AN9" s="42">
        <f t="shared" si="6"/>
        <v>120</v>
      </c>
      <c r="AO9" s="214"/>
      <c r="AP9" s="214"/>
    </row>
    <row r="10" spans="3:51" x14ac:dyDescent="0.25">
      <c r="C10" s="28">
        <v>40483</v>
      </c>
      <c r="D10" s="28"/>
      <c r="E10" s="37">
        <v>83004</v>
      </c>
      <c r="F10" s="38">
        <f>IF(E11&lt;&gt;0,E11-E5,"")</f>
        <v>1796</v>
      </c>
      <c r="G10" s="38">
        <f t="shared" si="7"/>
        <v>1796</v>
      </c>
      <c r="I10" s="28">
        <f t="shared" si="0"/>
        <v>40483</v>
      </c>
      <c r="J10" s="28"/>
      <c r="K10" s="37">
        <v>48570</v>
      </c>
      <c r="L10" s="39">
        <f>K11-K5</f>
        <v>-53</v>
      </c>
      <c r="M10" s="38">
        <f t="shared" si="8"/>
        <v>75</v>
      </c>
      <c r="O10" s="28">
        <f t="shared" si="1"/>
        <v>40483</v>
      </c>
      <c r="P10" s="284"/>
      <c r="Q10" s="37">
        <v>18585</v>
      </c>
      <c r="R10" s="39">
        <f>Q11-Q5</f>
        <v>1645</v>
      </c>
      <c r="S10" s="40">
        <f t="shared" si="9"/>
        <v>430</v>
      </c>
      <c r="V10" s="28">
        <f t="shared" si="2"/>
        <v>40483</v>
      </c>
      <c r="W10" s="37">
        <v>6945</v>
      </c>
      <c r="X10" s="39">
        <f>W11-W5</f>
        <v>396</v>
      </c>
      <c r="Y10" s="38">
        <f t="shared" si="10"/>
        <v>159</v>
      </c>
      <c r="AA10" s="34">
        <f t="shared" si="3"/>
        <v>40483</v>
      </c>
      <c r="AB10" s="37">
        <v>16870</v>
      </c>
      <c r="AC10" s="39">
        <f>AB11-AB5</f>
        <v>940</v>
      </c>
      <c r="AD10" s="40">
        <f t="shared" si="11"/>
        <v>680</v>
      </c>
      <c r="AF10" s="34">
        <f t="shared" si="4"/>
        <v>40483</v>
      </c>
      <c r="AG10" s="43"/>
      <c r="AK10" s="28">
        <f t="shared" si="5"/>
        <v>40483</v>
      </c>
      <c r="AL10" s="37">
        <v>2890</v>
      </c>
      <c r="AM10" s="39">
        <f>AL11-AL6</f>
        <v>860</v>
      </c>
      <c r="AN10" s="42">
        <f t="shared" si="6"/>
        <v>120</v>
      </c>
      <c r="AO10" s="214"/>
      <c r="AP10" s="214"/>
    </row>
    <row r="11" spans="3:51" x14ac:dyDescent="0.25">
      <c r="C11" s="28">
        <v>40513</v>
      </c>
      <c r="D11" s="28"/>
      <c r="E11" s="37">
        <v>84800</v>
      </c>
      <c r="F11" s="38">
        <f>IF(E12&lt;&gt;0,E12-E5,"")</f>
        <v>5796</v>
      </c>
      <c r="G11" s="38">
        <f t="shared" si="7"/>
        <v>4000</v>
      </c>
      <c r="I11" s="28">
        <f t="shared" si="0"/>
        <v>40513</v>
      </c>
      <c r="J11" s="28"/>
      <c r="K11" s="37">
        <v>48645</v>
      </c>
      <c r="L11" s="39">
        <f>K12-K5</f>
        <v>92</v>
      </c>
      <c r="M11" s="38">
        <f t="shared" si="8"/>
        <v>145</v>
      </c>
      <c r="O11" s="28">
        <f t="shared" si="1"/>
        <v>40513</v>
      </c>
      <c r="P11" s="284"/>
      <c r="Q11" s="37">
        <v>19015</v>
      </c>
      <c r="R11" s="39">
        <f>Q12-Q5</f>
        <v>2625</v>
      </c>
      <c r="S11" s="40">
        <f t="shared" si="9"/>
        <v>980</v>
      </c>
      <c r="V11" s="28">
        <f t="shared" si="2"/>
        <v>40513</v>
      </c>
      <c r="W11" s="37">
        <v>7104</v>
      </c>
      <c r="X11" s="39">
        <f>W12-W5</f>
        <v>632</v>
      </c>
      <c r="Y11" s="38">
        <f t="shared" si="10"/>
        <v>236</v>
      </c>
      <c r="AA11" s="34">
        <f t="shared" si="3"/>
        <v>40513</v>
      </c>
      <c r="AB11" s="37">
        <v>17550</v>
      </c>
      <c r="AC11" s="39">
        <f>AB12-AB5</f>
        <v>1890</v>
      </c>
      <c r="AD11" s="40">
        <f t="shared" si="11"/>
        <v>950</v>
      </c>
      <c r="AF11" s="34">
        <f t="shared" si="4"/>
        <v>40513</v>
      </c>
      <c r="AG11" s="43">
        <v>41940</v>
      </c>
      <c r="AK11" s="28">
        <f t="shared" si="5"/>
        <v>40513</v>
      </c>
      <c r="AL11" s="37">
        <v>3010</v>
      </c>
      <c r="AM11" s="39">
        <f>AL12-AL6</f>
        <v>950</v>
      </c>
      <c r="AN11" s="42">
        <f t="shared" si="6"/>
        <v>90</v>
      </c>
      <c r="AO11" s="214"/>
      <c r="AP11" s="214"/>
    </row>
    <row r="12" spans="3:51" x14ac:dyDescent="0.25">
      <c r="C12" s="28">
        <v>40544</v>
      </c>
      <c r="D12" s="28"/>
      <c r="E12" s="37">
        <v>88800</v>
      </c>
      <c r="F12" s="38">
        <f>IF(E13&lt;&gt;0,E13-E5,"")</f>
        <v>8126</v>
      </c>
      <c r="G12" s="38">
        <f t="shared" si="7"/>
        <v>2330</v>
      </c>
      <c r="I12" s="28">
        <f t="shared" si="0"/>
        <v>40544</v>
      </c>
      <c r="J12" s="28"/>
      <c r="K12" s="37">
        <v>48790</v>
      </c>
      <c r="L12" s="39">
        <f>K13-K5</f>
        <v>182</v>
      </c>
      <c r="M12" s="38">
        <f t="shared" si="8"/>
        <v>90</v>
      </c>
      <c r="O12" s="28">
        <f t="shared" si="1"/>
        <v>40544</v>
      </c>
      <c r="P12" s="284"/>
      <c r="Q12" s="37">
        <v>19995</v>
      </c>
      <c r="R12" s="39">
        <f>Q13-Q5</f>
        <v>3340</v>
      </c>
      <c r="S12" s="40">
        <f t="shared" si="9"/>
        <v>715</v>
      </c>
      <c r="V12" s="28">
        <f t="shared" si="2"/>
        <v>40544</v>
      </c>
      <c r="W12" s="37">
        <v>7340</v>
      </c>
      <c r="X12" s="39">
        <f>W13-W5</f>
        <v>807</v>
      </c>
      <c r="Y12" s="38">
        <f t="shared" si="10"/>
        <v>175</v>
      </c>
      <c r="AA12" s="34">
        <f t="shared" si="3"/>
        <v>40544</v>
      </c>
      <c r="AB12" s="37">
        <v>18500</v>
      </c>
      <c r="AC12" s="39">
        <f>AB13-AB5</f>
        <v>2537</v>
      </c>
      <c r="AD12" s="40">
        <f t="shared" si="11"/>
        <v>647</v>
      </c>
      <c r="AF12" s="34">
        <f t="shared" si="4"/>
        <v>40544</v>
      </c>
      <c r="AG12" s="43">
        <v>42320</v>
      </c>
      <c r="AK12" s="28">
        <f t="shared" si="5"/>
        <v>40544</v>
      </c>
      <c r="AL12" s="37">
        <v>3100</v>
      </c>
      <c r="AM12" s="39">
        <f>AL13-AL6</f>
        <v>1033</v>
      </c>
      <c r="AN12" s="42">
        <f t="shared" si="6"/>
        <v>83</v>
      </c>
      <c r="AO12" s="214"/>
      <c r="AP12" s="214"/>
    </row>
    <row r="13" spans="3:51" x14ac:dyDescent="0.25">
      <c r="C13" s="28">
        <v>40575</v>
      </c>
      <c r="D13" s="28"/>
      <c r="E13" s="37">
        <v>91130</v>
      </c>
      <c r="F13" s="38">
        <f>IF(E14&lt;&gt;0,E14-E5,"")</f>
        <v>10246</v>
      </c>
      <c r="G13" s="38">
        <f t="shared" si="7"/>
        <v>2120</v>
      </c>
      <c r="I13" s="28">
        <f t="shared" si="0"/>
        <v>40575</v>
      </c>
      <c r="J13" s="28"/>
      <c r="K13" s="37">
        <v>48880</v>
      </c>
      <c r="L13" s="39">
        <f>K14-K5</f>
        <v>242</v>
      </c>
      <c r="M13" s="38">
        <f t="shared" si="8"/>
        <v>60</v>
      </c>
      <c r="O13" s="28">
        <f t="shared" si="1"/>
        <v>40575</v>
      </c>
      <c r="P13" s="284"/>
      <c r="Q13" s="37">
        <v>20710</v>
      </c>
      <c r="R13" s="39">
        <f>Q14-Q5</f>
        <v>3905</v>
      </c>
      <c r="S13" s="40">
        <f t="shared" si="9"/>
        <v>565</v>
      </c>
      <c r="V13" s="28">
        <f t="shared" si="2"/>
        <v>40575</v>
      </c>
      <c r="W13" s="37">
        <v>7515</v>
      </c>
      <c r="X13" s="39">
        <f>W14-W5</f>
        <v>932</v>
      </c>
      <c r="Y13" s="38">
        <f t="shared" si="10"/>
        <v>125</v>
      </c>
      <c r="AA13" s="34">
        <f t="shared" si="3"/>
        <v>40575</v>
      </c>
      <c r="AB13" s="37">
        <v>19147</v>
      </c>
      <c r="AC13" s="39">
        <f>AB14-AB5</f>
        <v>3192</v>
      </c>
      <c r="AD13" s="40">
        <f t="shared" si="11"/>
        <v>655</v>
      </c>
      <c r="AF13" s="34">
        <f t="shared" si="4"/>
        <v>40575</v>
      </c>
      <c r="AG13" s="43">
        <v>42481</v>
      </c>
      <c r="AK13" s="28">
        <f t="shared" si="5"/>
        <v>40575</v>
      </c>
      <c r="AL13" s="37">
        <v>3183</v>
      </c>
      <c r="AM13" s="39">
        <f>AL14-AL6</f>
        <v>1160</v>
      </c>
      <c r="AN13" s="42">
        <f t="shared" si="6"/>
        <v>127</v>
      </c>
      <c r="AO13" s="214"/>
      <c r="AP13" s="214"/>
      <c r="AW13" s="183" t="s">
        <v>23</v>
      </c>
    </row>
    <row r="14" spans="3:51" x14ac:dyDescent="0.25">
      <c r="C14" s="28">
        <v>40603</v>
      </c>
      <c r="D14" s="28"/>
      <c r="E14" s="37">
        <v>93250</v>
      </c>
      <c r="F14" s="38">
        <f>IF(E15&lt;&gt;0,E15-E5,"")</f>
        <v>11576</v>
      </c>
      <c r="G14" s="38">
        <f t="shared" si="7"/>
        <v>1330</v>
      </c>
      <c r="I14" s="28">
        <f t="shared" si="0"/>
        <v>40603</v>
      </c>
      <c r="J14" s="28"/>
      <c r="K14" s="37">
        <v>48940</v>
      </c>
      <c r="L14" s="39">
        <f>K15-K5</f>
        <v>187</v>
      </c>
      <c r="M14" s="38">
        <f t="shared" si="8"/>
        <v>-55</v>
      </c>
      <c r="O14" s="28">
        <f t="shared" si="1"/>
        <v>40603</v>
      </c>
      <c r="P14" s="284"/>
      <c r="Q14" s="37">
        <v>21275</v>
      </c>
      <c r="R14" s="39">
        <f>Q15-Q5</f>
        <v>4427</v>
      </c>
      <c r="S14" s="40">
        <f t="shared" si="9"/>
        <v>522</v>
      </c>
      <c r="V14" s="28">
        <f t="shared" si="2"/>
        <v>40603</v>
      </c>
      <c r="W14" s="37">
        <v>7640</v>
      </c>
      <c r="X14" s="39">
        <f>W15-W5</f>
        <v>1009</v>
      </c>
      <c r="Y14" s="38">
        <f t="shared" si="10"/>
        <v>77</v>
      </c>
      <c r="AA14" s="34">
        <f t="shared" si="3"/>
        <v>40603</v>
      </c>
      <c r="AB14" s="37">
        <v>19802</v>
      </c>
      <c r="AC14" s="39">
        <f>AB15-AB5</f>
        <v>3635</v>
      </c>
      <c r="AD14" s="40">
        <f t="shared" si="11"/>
        <v>443</v>
      </c>
      <c r="AF14" s="34">
        <f t="shared" si="4"/>
        <v>40603</v>
      </c>
      <c r="AG14" s="43">
        <v>42585</v>
      </c>
      <c r="AK14" s="28">
        <f t="shared" si="5"/>
        <v>40603</v>
      </c>
      <c r="AL14" s="37">
        <v>3310</v>
      </c>
      <c r="AM14" s="39">
        <f>AL15-AL6</f>
        <v>1447</v>
      </c>
      <c r="AN14" s="42">
        <f t="shared" si="6"/>
        <v>287</v>
      </c>
      <c r="AO14" s="214"/>
      <c r="AP14" s="214"/>
      <c r="AW14" s="178">
        <v>21</v>
      </c>
      <c r="AX14" s="190"/>
      <c r="AY14" s="179">
        <f>AW14*65</f>
        <v>1365</v>
      </c>
    </row>
    <row r="15" spans="3:51" x14ac:dyDescent="0.25">
      <c r="C15" s="28">
        <v>40634</v>
      </c>
      <c r="D15" s="28"/>
      <c r="E15" s="37">
        <v>94580</v>
      </c>
      <c r="F15" s="38">
        <f>IF(E16&lt;&gt;0,E16-E5,"")</f>
        <v>11850</v>
      </c>
      <c r="G15" s="38">
        <f t="shared" si="7"/>
        <v>274</v>
      </c>
      <c r="I15" s="28">
        <f t="shared" si="0"/>
        <v>40634</v>
      </c>
      <c r="J15" s="28"/>
      <c r="K15" s="37">
        <v>48885</v>
      </c>
      <c r="L15" s="39">
        <f>K16-K5</f>
        <v>102</v>
      </c>
      <c r="M15" s="38">
        <f t="shared" si="8"/>
        <v>-85</v>
      </c>
      <c r="O15" s="28">
        <f t="shared" si="1"/>
        <v>40634</v>
      </c>
      <c r="P15" s="284"/>
      <c r="Q15" s="37">
        <v>21797</v>
      </c>
      <c r="R15" s="39">
        <f>Q16-Q5</f>
        <v>4815</v>
      </c>
      <c r="S15" s="40">
        <f t="shared" si="9"/>
        <v>388</v>
      </c>
      <c r="V15" s="28">
        <f t="shared" si="2"/>
        <v>40634</v>
      </c>
      <c r="W15" s="37">
        <v>7717</v>
      </c>
      <c r="X15" s="39">
        <f>W16-W5</f>
        <v>1082</v>
      </c>
      <c r="Y15" s="38">
        <f t="shared" si="10"/>
        <v>73</v>
      </c>
      <c r="AA15" s="34">
        <f t="shared" si="3"/>
        <v>40634</v>
      </c>
      <c r="AB15" s="37">
        <v>20245</v>
      </c>
      <c r="AC15" s="39">
        <f>AB16-AB5</f>
        <v>3751</v>
      </c>
      <c r="AD15" s="40">
        <f t="shared" si="11"/>
        <v>116</v>
      </c>
      <c r="AF15" s="34">
        <f t="shared" si="4"/>
        <v>40634</v>
      </c>
      <c r="AG15" s="43">
        <v>42597</v>
      </c>
      <c r="AK15" s="28">
        <f t="shared" si="5"/>
        <v>40634</v>
      </c>
      <c r="AL15" s="37">
        <v>3597</v>
      </c>
      <c r="AM15" s="39">
        <f>AL16-AL6</f>
        <v>1804</v>
      </c>
      <c r="AN15" s="42">
        <f t="shared" si="6"/>
        <v>357</v>
      </c>
      <c r="AO15" s="214"/>
      <c r="AP15" s="214"/>
    </row>
    <row r="16" spans="3:51" x14ac:dyDescent="0.25">
      <c r="C16" s="28">
        <v>40664</v>
      </c>
      <c r="D16" s="28"/>
      <c r="E16" s="37">
        <v>94854</v>
      </c>
      <c r="F16" s="38">
        <f>IF(E17&lt;&gt;0,E17-E5,"")</f>
        <v>11850</v>
      </c>
      <c r="G16" s="38">
        <f t="shared" si="7"/>
        <v>0</v>
      </c>
      <c r="I16" s="28">
        <f t="shared" si="0"/>
        <v>40664</v>
      </c>
      <c r="J16" s="28"/>
      <c r="K16" s="37">
        <v>48800</v>
      </c>
      <c r="L16" s="39">
        <f>K17-K5</f>
        <v>-38</v>
      </c>
      <c r="M16" s="38">
        <f t="shared" si="8"/>
        <v>-140</v>
      </c>
      <c r="O16" s="28">
        <f t="shared" si="1"/>
        <v>40664</v>
      </c>
      <c r="P16" s="284"/>
      <c r="Q16" s="37">
        <v>22185</v>
      </c>
      <c r="R16" s="39">
        <f>Q17-Q5</f>
        <v>5004</v>
      </c>
      <c r="S16" s="40">
        <f t="shared" si="9"/>
        <v>189</v>
      </c>
      <c r="V16" s="28">
        <f t="shared" si="2"/>
        <v>40664</v>
      </c>
      <c r="W16" s="37">
        <v>7790</v>
      </c>
      <c r="X16" s="39">
        <f>W17-W5</f>
        <v>1180</v>
      </c>
      <c r="Y16" s="38">
        <f t="shared" si="10"/>
        <v>98</v>
      </c>
      <c r="AA16" s="34">
        <f t="shared" si="3"/>
        <v>40664</v>
      </c>
      <c r="AB16" s="37">
        <v>20361</v>
      </c>
      <c r="AC16" s="39">
        <f>AB17-AB5</f>
        <v>3850</v>
      </c>
      <c r="AD16" s="40">
        <f t="shared" si="11"/>
        <v>99</v>
      </c>
      <c r="AF16" s="34">
        <f t="shared" si="4"/>
        <v>40664</v>
      </c>
      <c r="AG16" s="43">
        <v>42603</v>
      </c>
      <c r="AK16" s="28">
        <f t="shared" si="5"/>
        <v>40664</v>
      </c>
      <c r="AL16" s="37">
        <v>3954</v>
      </c>
      <c r="AM16" s="39">
        <f>AL17-AL6</f>
        <v>2298</v>
      </c>
      <c r="AN16" s="42">
        <f t="shared" si="6"/>
        <v>494</v>
      </c>
      <c r="AO16" s="214"/>
      <c r="AP16" s="214"/>
    </row>
    <row r="17" spans="3:51" x14ac:dyDescent="0.25">
      <c r="C17" s="28">
        <v>40695</v>
      </c>
      <c r="D17" s="28"/>
      <c r="E17" s="37">
        <v>94854</v>
      </c>
      <c r="F17" s="38">
        <f>IF(E18&lt;&gt;0,E18-E5,"")</f>
        <v>11850</v>
      </c>
      <c r="G17" s="38">
        <f t="shared" si="7"/>
        <v>0</v>
      </c>
      <c r="I17" s="28">
        <f t="shared" si="0"/>
        <v>40695</v>
      </c>
      <c r="J17" s="28"/>
      <c r="K17" s="37">
        <v>48660</v>
      </c>
      <c r="L17" s="39">
        <f>K18-K5</f>
        <v>-128</v>
      </c>
      <c r="M17" s="38">
        <f t="shared" si="8"/>
        <v>-90</v>
      </c>
      <c r="O17" s="28">
        <f t="shared" si="1"/>
        <v>40695</v>
      </c>
      <c r="P17" s="284"/>
      <c r="Q17" s="37">
        <v>22374</v>
      </c>
      <c r="R17" s="39">
        <f>Q18-Q5</f>
        <v>5280</v>
      </c>
      <c r="S17" s="40">
        <f t="shared" si="9"/>
        <v>276</v>
      </c>
      <c r="V17" s="28">
        <f t="shared" si="2"/>
        <v>40695</v>
      </c>
      <c r="W17" s="37">
        <v>7888</v>
      </c>
      <c r="X17" s="39">
        <f>W18-W5</f>
        <v>1242</v>
      </c>
      <c r="Y17" s="38">
        <f t="shared" si="10"/>
        <v>62</v>
      </c>
      <c r="AA17" s="34">
        <f t="shared" si="3"/>
        <v>40695</v>
      </c>
      <c r="AB17" s="37">
        <v>20460</v>
      </c>
      <c r="AC17" s="39">
        <f>AB18-AB5</f>
        <v>3885</v>
      </c>
      <c r="AD17" s="40">
        <f t="shared" si="11"/>
        <v>35</v>
      </c>
      <c r="AF17" s="34">
        <f t="shared" si="4"/>
        <v>40695</v>
      </c>
      <c r="AG17" s="43">
        <v>42712</v>
      </c>
      <c r="AK17" s="28">
        <f t="shared" si="5"/>
        <v>40695</v>
      </c>
      <c r="AL17" s="45">
        <v>4448</v>
      </c>
      <c r="AM17" s="39">
        <f>AL18-AL6</f>
        <v>2724</v>
      </c>
      <c r="AN17" s="42">
        <f t="shared" si="6"/>
        <v>426</v>
      </c>
      <c r="AO17" s="214"/>
      <c r="AP17" s="214"/>
      <c r="AW17" s="178">
        <v>9</v>
      </c>
      <c r="AX17" s="190"/>
      <c r="AY17" s="179">
        <f>AW17*65</f>
        <v>585</v>
      </c>
    </row>
    <row r="18" spans="3:51" x14ac:dyDescent="0.25">
      <c r="C18" s="28">
        <v>40725</v>
      </c>
      <c r="D18" s="28"/>
      <c r="E18" s="46">
        <v>94854</v>
      </c>
      <c r="F18" s="47" t="str">
        <f>IF(E19&lt;&gt;0,E19-E18,"")</f>
        <v/>
      </c>
      <c r="G18" s="48"/>
      <c r="I18" s="28">
        <f t="shared" si="0"/>
        <v>40725</v>
      </c>
      <c r="J18" s="28"/>
      <c r="K18" s="46">
        <v>48570</v>
      </c>
      <c r="L18" s="49"/>
      <c r="M18" s="48"/>
      <c r="O18" s="28">
        <f t="shared" si="1"/>
        <v>40725</v>
      </c>
      <c r="P18" s="284"/>
      <c r="Q18" s="46">
        <v>22650</v>
      </c>
      <c r="R18" s="48"/>
      <c r="S18" s="50"/>
      <c r="V18" s="28">
        <f t="shared" si="2"/>
        <v>40725</v>
      </c>
      <c r="W18" s="46">
        <v>7950</v>
      </c>
      <c r="X18" s="49"/>
      <c r="Y18" s="48"/>
      <c r="AA18" s="34">
        <f t="shared" si="3"/>
        <v>40725</v>
      </c>
      <c r="AB18" s="46">
        <v>20495</v>
      </c>
      <c r="AC18" s="48"/>
      <c r="AD18" s="50"/>
      <c r="AF18" s="34">
        <f t="shared" si="4"/>
        <v>40725</v>
      </c>
      <c r="AG18" s="51">
        <v>42719</v>
      </c>
      <c r="AK18" s="28">
        <f t="shared" si="5"/>
        <v>40725</v>
      </c>
      <c r="AL18" s="46">
        <v>4874</v>
      </c>
      <c r="AM18" s="48"/>
      <c r="AN18" s="50"/>
      <c r="AO18" s="214"/>
      <c r="AP18" s="214"/>
    </row>
    <row r="19" spans="3:51" x14ac:dyDescent="0.25">
      <c r="C19" s="52" t="s">
        <v>18</v>
      </c>
      <c r="D19" s="52"/>
      <c r="E19" s="53"/>
      <c r="F19" s="53"/>
      <c r="G19" s="54">
        <f>SUM(G5:G18)</f>
        <v>11850</v>
      </c>
      <c r="I19" s="28" t="str">
        <f t="shared" si="0"/>
        <v xml:space="preserve">  </v>
      </c>
      <c r="J19" s="28"/>
      <c r="K19" s="53"/>
      <c r="L19" s="53"/>
      <c r="M19" s="54">
        <f>SUM(M5:M18)</f>
        <v>-128</v>
      </c>
      <c r="O19" s="28" t="str">
        <f t="shared" si="1"/>
        <v xml:space="preserve">  </v>
      </c>
      <c r="P19" s="284"/>
      <c r="Q19" s="53"/>
      <c r="R19" s="53"/>
      <c r="S19" s="54">
        <f>SUM(S5:S18)</f>
        <v>5280</v>
      </c>
      <c r="V19" s="28" t="str">
        <f t="shared" si="2"/>
        <v xml:space="preserve">  </v>
      </c>
      <c r="W19" s="53"/>
      <c r="X19" s="53"/>
      <c r="Y19" s="54">
        <f>SUM(Y5:Y18)</f>
        <v>1242</v>
      </c>
      <c r="AA19" s="34" t="str">
        <f t="shared" si="3"/>
        <v xml:space="preserve">  </v>
      </c>
      <c r="AB19" s="53"/>
      <c r="AC19" s="53"/>
      <c r="AD19" s="54">
        <f>SUM(AD5:AD18)</f>
        <v>3885</v>
      </c>
      <c r="AF19" s="34" t="str">
        <f t="shared" si="4"/>
        <v xml:space="preserve">  </v>
      </c>
      <c r="AG19" s="55"/>
      <c r="AK19" s="28" t="str">
        <f t="shared" si="5"/>
        <v xml:space="preserve">  </v>
      </c>
      <c r="AL19" s="53"/>
      <c r="AM19" s="53"/>
      <c r="AN19" s="54">
        <f>SUM(AN5:AN18)</f>
        <v>2724</v>
      </c>
      <c r="AO19" s="54"/>
      <c r="AP19" s="54"/>
    </row>
    <row r="20" spans="3:51" x14ac:dyDescent="0.25">
      <c r="C20" s="20"/>
      <c r="D20" s="20"/>
      <c r="E20" s="56" t="s">
        <v>4</v>
      </c>
      <c r="F20" s="57" t="s">
        <v>1</v>
      </c>
      <c r="G20" s="58" t="s">
        <v>2</v>
      </c>
      <c r="I20" s="28">
        <f t="shared" si="0"/>
        <v>0</v>
      </c>
      <c r="J20" s="28"/>
      <c r="K20" s="56" t="s">
        <v>4</v>
      </c>
      <c r="L20" s="57" t="s">
        <v>1</v>
      </c>
      <c r="M20" s="58" t="s">
        <v>2</v>
      </c>
      <c r="O20" s="28">
        <f t="shared" si="1"/>
        <v>0</v>
      </c>
      <c r="P20" s="284"/>
      <c r="Q20" s="59" t="s">
        <v>4</v>
      </c>
      <c r="R20" s="60" t="s">
        <v>1</v>
      </c>
      <c r="S20" s="61" t="s">
        <v>2</v>
      </c>
      <c r="V20" s="28">
        <f t="shared" si="2"/>
        <v>0</v>
      </c>
      <c r="W20" s="56" t="s">
        <v>4</v>
      </c>
      <c r="X20" s="57" t="s">
        <v>1</v>
      </c>
      <c r="Y20" s="58" t="s">
        <v>2</v>
      </c>
      <c r="AA20" s="34">
        <f t="shared" si="3"/>
        <v>0</v>
      </c>
      <c r="AB20" s="59" t="s">
        <v>4</v>
      </c>
      <c r="AC20" s="60" t="s">
        <v>1</v>
      </c>
      <c r="AD20" s="61" t="s">
        <v>2</v>
      </c>
      <c r="AF20" s="34">
        <f t="shared" si="4"/>
        <v>0</v>
      </c>
      <c r="AG20" s="59" t="s">
        <v>4</v>
      </c>
      <c r="AH20" s="60" t="s">
        <v>1</v>
      </c>
      <c r="AI20" s="62" t="s">
        <v>2</v>
      </c>
      <c r="AK20" s="28">
        <f t="shared" si="5"/>
        <v>0</v>
      </c>
      <c r="AL20" s="63" t="s">
        <v>4</v>
      </c>
      <c r="AM20" s="64" t="s">
        <v>1</v>
      </c>
      <c r="AN20" s="65" t="s">
        <v>2</v>
      </c>
      <c r="AO20" s="215"/>
      <c r="AP20" s="215"/>
    </row>
    <row r="21" spans="3:51" x14ac:dyDescent="0.25">
      <c r="C21" s="28">
        <v>40725</v>
      </c>
      <c r="D21" s="28"/>
      <c r="E21" s="66">
        <f>E18</f>
        <v>94854</v>
      </c>
      <c r="F21" s="67">
        <f>IF(E24&lt;&gt;0,E24-E21,"")</f>
        <v>0</v>
      </c>
      <c r="G21" s="68">
        <f>IF(E24&lt;&gt;0,E24-E21,0)</f>
        <v>0</v>
      </c>
      <c r="I21" s="28">
        <f t="shared" si="0"/>
        <v>40725</v>
      </c>
      <c r="J21" s="28"/>
      <c r="K21" s="69">
        <f>K18</f>
        <v>48570</v>
      </c>
      <c r="L21" s="70">
        <f>IF(K24&lt;&gt;0,K24-K21,0)</f>
        <v>-104</v>
      </c>
      <c r="M21" s="68">
        <f>IF(K24&lt;&gt;0,K24-K21,0)</f>
        <v>-104</v>
      </c>
      <c r="O21" s="28">
        <f t="shared" si="1"/>
        <v>40725</v>
      </c>
      <c r="P21" s="284"/>
      <c r="Q21" s="71">
        <f>Q18</f>
        <v>22650</v>
      </c>
      <c r="R21" s="70">
        <f>IF(Q24&lt;&gt;0,Q24-Q21,0)</f>
        <v>272</v>
      </c>
      <c r="S21" s="68">
        <f>IF(Q24&lt;&gt;0,Q24-Q21,0)</f>
        <v>272</v>
      </c>
      <c r="V21" s="28">
        <f t="shared" si="2"/>
        <v>40725</v>
      </c>
      <c r="W21" s="69">
        <f>W18</f>
        <v>7950</v>
      </c>
      <c r="X21" s="70">
        <f>IF(W24&lt;&gt;0,W24-W21,0)</f>
        <v>41</v>
      </c>
      <c r="Y21" s="72">
        <f>IF(W24&lt;&gt;0,W24-W21,0)</f>
        <v>41</v>
      </c>
      <c r="AA21" s="34">
        <f t="shared" si="3"/>
        <v>40725</v>
      </c>
      <c r="AB21" s="71">
        <f>AB18</f>
        <v>20495</v>
      </c>
      <c r="AC21" s="70">
        <f>IF(AB24&lt;&gt;0,AB24-AB21,0)</f>
        <v>27</v>
      </c>
      <c r="AD21" s="72">
        <f>IF(AB24&lt;&gt;0,AB24-AB21,0)</f>
        <v>27</v>
      </c>
      <c r="AF21" s="34">
        <f t="shared" si="4"/>
        <v>40725</v>
      </c>
      <c r="AG21" s="73">
        <v>42719</v>
      </c>
      <c r="AH21" s="70">
        <f>IF(AG24&lt;&gt;0,AG24-AG21,0)</f>
        <v>4</v>
      </c>
      <c r="AI21" s="74">
        <f>IF(AG24&lt;&gt;0,AG24-AG21,"")</f>
        <v>4</v>
      </c>
      <c r="AK21" s="28">
        <f t="shared" si="5"/>
        <v>40725</v>
      </c>
      <c r="AL21" s="75">
        <f>AL18</f>
        <v>4874</v>
      </c>
      <c r="AM21" s="70">
        <f>IF(AL24&lt;&gt;0,AL24-AL21,0)</f>
        <v>367</v>
      </c>
      <c r="AN21" s="72">
        <f>IF(AL24&lt;&gt;0,AL24-AL21,0)</f>
        <v>367</v>
      </c>
      <c r="AO21" s="216"/>
      <c r="AP21" s="216"/>
    </row>
    <row r="22" spans="3:51" ht="15.75" thickBot="1" x14ac:dyDescent="0.3">
      <c r="C22" s="76" t="s">
        <v>21</v>
      </c>
      <c r="D22" s="77">
        <v>41095</v>
      </c>
      <c r="E22" s="78">
        <v>94854</v>
      </c>
      <c r="F22" s="79"/>
      <c r="G22" s="80"/>
      <c r="I22" s="28" t="str">
        <f t="shared" si="0"/>
        <v>BELPOWER</v>
      </c>
      <c r="J22" s="28"/>
      <c r="K22" s="81">
        <v>48530</v>
      </c>
      <c r="L22" s="53"/>
      <c r="M22" s="80"/>
      <c r="O22" s="28" t="str">
        <f t="shared" si="1"/>
        <v>BELPOWER</v>
      </c>
      <c r="P22" s="284"/>
      <c r="Q22" s="82">
        <v>22679</v>
      </c>
      <c r="R22" s="53"/>
      <c r="S22" s="80"/>
      <c r="V22" s="28" t="str">
        <f t="shared" si="2"/>
        <v>BELPOWER</v>
      </c>
      <c r="W22" s="81">
        <v>7964</v>
      </c>
      <c r="X22" s="53"/>
      <c r="Y22" s="74"/>
      <c r="AA22" s="34" t="str">
        <f t="shared" si="3"/>
        <v>BELPOWER</v>
      </c>
      <c r="AB22" s="82">
        <v>20499</v>
      </c>
      <c r="AC22" s="53"/>
      <c r="AD22" s="74"/>
      <c r="AF22" s="34"/>
      <c r="AG22" s="78">
        <v>42720</v>
      </c>
      <c r="AH22" s="53"/>
      <c r="AI22" s="74"/>
      <c r="AK22" s="28"/>
      <c r="AL22" s="78"/>
      <c r="AM22" s="53"/>
      <c r="AN22" s="74"/>
      <c r="AO22" s="216"/>
      <c r="AP22" s="216"/>
    </row>
    <row r="23" spans="3:51" ht="15.75" thickBot="1" x14ac:dyDescent="0.3">
      <c r="C23" s="76"/>
      <c r="D23" s="77"/>
      <c r="E23" s="83">
        <f>+E22-E8</f>
        <v>11850</v>
      </c>
      <c r="F23" s="79"/>
      <c r="G23" s="80"/>
      <c r="I23" s="28"/>
      <c r="J23" s="28"/>
      <c r="K23" s="83">
        <f>+K22-K8</f>
        <v>80</v>
      </c>
      <c r="L23" s="53"/>
      <c r="M23" s="80"/>
      <c r="O23" s="28"/>
      <c r="P23" s="284"/>
      <c r="Q23" s="83">
        <f>+Q22-Q8</f>
        <v>4732</v>
      </c>
      <c r="R23" s="53"/>
      <c r="S23" s="80"/>
      <c r="V23" s="28"/>
      <c r="W23" s="83">
        <f>+W22-W8</f>
        <v>1149</v>
      </c>
      <c r="X23" s="53"/>
      <c r="Y23" s="74"/>
      <c r="AA23" s="34"/>
      <c r="AB23" s="83">
        <f>+AB22-AB8</f>
        <v>3823</v>
      </c>
      <c r="AC23" s="53"/>
      <c r="AD23" s="74"/>
      <c r="AF23" s="34"/>
      <c r="AG23" s="84" t="s">
        <v>22</v>
      </c>
      <c r="AH23" s="53"/>
      <c r="AI23" s="74"/>
      <c r="AK23" s="28"/>
      <c r="AL23" s="78"/>
      <c r="AM23" s="53"/>
      <c r="AN23" s="74"/>
      <c r="AO23" s="216"/>
      <c r="AP23" s="216"/>
    </row>
    <row r="24" spans="3:51" x14ac:dyDescent="0.25">
      <c r="C24" s="28">
        <v>40756</v>
      </c>
      <c r="D24" s="28"/>
      <c r="E24" s="85">
        <v>94854</v>
      </c>
      <c r="F24" s="79">
        <f>IF(E25&lt;&gt;0,E25-E21,"")</f>
        <v>0</v>
      </c>
      <c r="G24" s="80">
        <f>IF(E25&lt;&gt;0,E25-E24,0)</f>
        <v>0</v>
      </c>
      <c r="I24" s="28">
        <f t="shared" si="0"/>
        <v>40756</v>
      </c>
      <c r="J24" s="28"/>
      <c r="K24" s="86">
        <v>48466</v>
      </c>
      <c r="L24" s="53">
        <f>IF(K25&lt;&gt;0,K25-K21,0)</f>
        <v>-176</v>
      </c>
      <c r="M24" s="80">
        <f>IF(K25&lt;&gt;0,K25-K24,0)</f>
        <v>-72</v>
      </c>
      <c r="O24" s="28">
        <f t="shared" si="1"/>
        <v>40756</v>
      </c>
      <c r="P24" s="284"/>
      <c r="Q24" s="85">
        <v>22922</v>
      </c>
      <c r="R24" s="53">
        <f>IF(Q25&lt;&gt;0,Q25-Q21,0)</f>
        <v>591</v>
      </c>
      <c r="S24" s="80">
        <f>IF(Q25&lt;&gt;0,Q25-Q24,0)</f>
        <v>319</v>
      </c>
      <c r="V24" s="28">
        <f t="shared" si="2"/>
        <v>40756</v>
      </c>
      <c r="W24" s="86">
        <v>7991</v>
      </c>
      <c r="X24" s="53">
        <f>IF(W25&lt;&gt;0,W25-W21,0)</f>
        <v>111</v>
      </c>
      <c r="Y24" s="74">
        <f>IF(W25&lt;&gt;0,W25-W24,0)</f>
        <v>70</v>
      </c>
      <c r="AA24" s="34">
        <f t="shared" si="3"/>
        <v>40756</v>
      </c>
      <c r="AB24" s="85">
        <v>20522</v>
      </c>
      <c r="AC24" s="53">
        <f>IF(AB25&lt;&gt;0,AB25-AB21,0)</f>
        <v>65</v>
      </c>
      <c r="AD24" s="74">
        <f>IF(AB25&lt;&gt;0,AB25-AB24,0)</f>
        <v>38</v>
      </c>
      <c r="AF24" s="34">
        <f t="shared" si="4"/>
        <v>40756</v>
      </c>
      <c r="AG24" s="85">
        <v>42723</v>
      </c>
      <c r="AH24" s="53">
        <f>IF(AG25&lt;&gt;0,AG25-AG21,0)</f>
        <v>5</v>
      </c>
      <c r="AI24" s="74">
        <f>IF(AG25&lt;&gt;0,AG25-AG24,"")</f>
        <v>1</v>
      </c>
      <c r="AK24" s="28">
        <f t="shared" si="5"/>
        <v>40756</v>
      </c>
      <c r="AL24" s="85">
        <v>5241</v>
      </c>
      <c r="AM24" s="53">
        <f>IF(AL25&lt;&gt;0,AL25-AL21,0)</f>
        <v>714</v>
      </c>
      <c r="AN24" s="74">
        <f t="shared" ref="AN24:AN34" si="12">IF(AL25&lt;&gt;0,AL25-AL24,0)</f>
        <v>347</v>
      </c>
      <c r="AO24" s="216"/>
      <c r="AP24" s="216"/>
    </row>
    <row r="25" spans="3:51" x14ac:dyDescent="0.25">
      <c r="C25" s="28">
        <v>40787</v>
      </c>
      <c r="D25" s="28"/>
      <c r="E25" s="85">
        <v>94854</v>
      </c>
      <c r="F25" s="79">
        <f>IF(E26&lt;&gt;0,E26-E21,"")</f>
        <v>0</v>
      </c>
      <c r="G25" s="80">
        <f t="shared" ref="G25:G34" si="13">IF(E26&lt;&gt;0,E26-E25,0)</f>
        <v>0</v>
      </c>
      <c r="I25" s="28">
        <f t="shared" si="0"/>
        <v>40787</v>
      </c>
      <c r="J25" s="28"/>
      <c r="K25" s="86">
        <v>48394</v>
      </c>
      <c r="L25" s="53">
        <f>IF(K26&lt;&gt;0,K26-K21,0)</f>
        <v>-197</v>
      </c>
      <c r="M25" s="80">
        <f t="shared" ref="M25:M34" si="14">IF(K26&lt;&gt;0,K26-K25,0)</f>
        <v>-21</v>
      </c>
      <c r="O25" s="28">
        <f t="shared" si="1"/>
        <v>40787</v>
      </c>
      <c r="P25" s="284"/>
      <c r="Q25" s="85">
        <v>23241</v>
      </c>
      <c r="R25" s="53">
        <f>IF(Q26&lt;&gt;0,Q26-Q21,0)</f>
        <v>917</v>
      </c>
      <c r="S25" s="80">
        <f t="shared" ref="S25:S34" si="15">IF(Q26&lt;&gt;0,Q26-Q25,0)</f>
        <v>326</v>
      </c>
      <c r="V25" s="28">
        <f t="shared" si="2"/>
        <v>40787</v>
      </c>
      <c r="W25" s="86">
        <v>8061</v>
      </c>
      <c r="X25" s="53">
        <f>IF(W26&lt;&gt;0,W26-W21,0)</f>
        <v>180</v>
      </c>
      <c r="Y25" s="74">
        <f t="shared" ref="Y25:Y34" si="16">IF(W26&lt;&gt;0,W26-W25,0)</f>
        <v>69</v>
      </c>
      <c r="AA25" s="34">
        <f t="shared" si="3"/>
        <v>40787</v>
      </c>
      <c r="AB25" s="85">
        <v>20560</v>
      </c>
      <c r="AC25" s="53">
        <f>IF(AB26&lt;&gt;0,AB26-AB21,0)</f>
        <v>99</v>
      </c>
      <c r="AD25" s="74">
        <f t="shared" ref="AD25:AD34" si="17">IF(AB26&lt;&gt;0,AB26-AB25,0)</f>
        <v>34</v>
      </c>
      <c r="AF25" s="34">
        <f t="shared" si="4"/>
        <v>40787</v>
      </c>
      <c r="AG25" s="85">
        <v>42724</v>
      </c>
      <c r="AH25" s="53">
        <f>IF(AG26&lt;&gt;0,AG26-AG21,0)</f>
        <v>7</v>
      </c>
      <c r="AI25" s="74">
        <f t="shared" ref="AI25:AI34" si="18">IF(AG26&lt;&gt;0,AG26-AG25,"")</f>
        <v>2</v>
      </c>
      <c r="AK25" s="28">
        <f t="shared" si="5"/>
        <v>40787</v>
      </c>
      <c r="AL25" s="85">
        <v>5588</v>
      </c>
      <c r="AM25" s="53">
        <f>IF(AL26&lt;&gt;0,AL26-AL21,0)</f>
        <v>991</v>
      </c>
      <c r="AN25" s="74">
        <f t="shared" si="12"/>
        <v>277</v>
      </c>
      <c r="AO25" s="216"/>
      <c r="AP25" s="216"/>
    </row>
    <row r="26" spans="3:51" x14ac:dyDescent="0.25">
      <c r="C26" s="28">
        <v>40817</v>
      </c>
      <c r="D26" s="28"/>
      <c r="E26" s="85">
        <v>94854</v>
      </c>
      <c r="F26" s="79">
        <f>IF(E27&lt;&gt;0,E27-E21,0)</f>
        <v>369</v>
      </c>
      <c r="G26" s="80">
        <f t="shared" si="13"/>
        <v>369</v>
      </c>
      <c r="I26" s="28">
        <f t="shared" si="0"/>
        <v>40817</v>
      </c>
      <c r="J26" s="28"/>
      <c r="K26" s="86">
        <v>48373</v>
      </c>
      <c r="L26" s="53">
        <f>IF(K27&lt;&gt;0,K27-K21,0)</f>
        <v>-126</v>
      </c>
      <c r="M26" s="80">
        <f t="shared" si="14"/>
        <v>71</v>
      </c>
      <c r="O26" s="28">
        <f t="shared" si="1"/>
        <v>40817</v>
      </c>
      <c r="P26" s="284"/>
      <c r="Q26" s="85">
        <v>23567</v>
      </c>
      <c r="R26" s="53">
        <f>IF(Q27&lt;&gt;0,Q27-Q21,0)</f>
        <v>1257</v>
      </c>
      <c r="S26" s="80">
        <f t="shared" si="15"/>
        <v>340</v>
      </c>
      <c r="V26" s="28">
        <f t="shared" si="2"/>
        <v>40817</v>
      </c>
      <c r="W26" s="86">
        <v>8130</v>
      </c>
      <c r="X26" s="53">
        <f>IF(W27&lt;&gt;0,W27-W21,0)</f>
        <v>248</v>
      </c>
      <c r="Y26" s="74">
        <f t="shared" si="16"/>
        <v>68</v>
      </c>
      <c r="AA26" s="34">
        <f t="shared" si="3"/>
        <v>40817</v>
      </c>
      <c r="AB26" s="85">
        <v>20594</v>
      </c>
      <c r="AC26" s="53">
        <f>IF(AB27&lt;&gt;0,AB27-AB21,0)</f>
        <v>274</v>
      </c>
      <c r="AD26" s="74">
        <f t="shared" si="17"/>
        <v>175</v>
      </c>
      <c r="AF26" s="34">
        <f t="shared" si="4"/>
        <v>40817</v>
      </c>
      <c r="AG26" s="85">
        <v>42726</v>
      </c>
      <c r="AH26" s="53">
        <f>IF(AG27&lt;&gt;0,AG27-AG21,0)</f>
        <v>8</v>
      </c>
      <c r="AI26" s="74">
        <f t="shared" si="18"/>
        <v>1</v>
      </c>
      <c r="AK26" s="28">
        <f t="shared" si="5"/>
        <v>40817</v>
      </c>
      <c r="AL26" s="85">
        <v>5865</v>
      </c>
      <c r="AM26" s="53">
        <f>IF(AL27&lt;&gt;0,AL27-AL21,0)</f>
        <v>1232</v>
      </c>
      <c r="AN26" s="74">
        <f t="shared" si="12"/>
        <v>241</v>
      </c>
      <c r="AO26" s="216"/>
      <c r="AP26" s="216"/>
    </row>
    <row r="27" spans="3:51" x14ac:dyDescent="0.25">
      <c r="C27" s="28">
        <v>40848</v>
      </c>
      <c r="D27" s="28"/>
      <c r="E27" s="85">
        <v>95223</v>
      </c>
      <c r="F27" s="79">
        <f>IF(E28&lt;&gt;0,E28-E21,0)</f>
        <v>1444</v>
      </c>
      <c r="G27" s="80">
        <f t="shared" si="13"/>
        <v>1075</v>
      </c>
      <c r="I27" s="28">
        <f t="shared" si="0"/>
        <v>40848</v>
      </c>
      <c r="J27" s="28"/>
      <c r="K27" s="86">
        <v>48444</v>
      </c>
      <c r="L27" s="53">
        <f>IF(K28&lt;&gt;0,K28-K21,0)</f>
        <v>37</v>
      </c>
      <c r="M27" s="80">
        <f t="shared" si="14"/>
        <v>163</v>
      </c>
      <c r="O27" s="28">
        <f t="shared" si="1"/>
        <v>40848</v>
      </c>
      <c r="P27" s="284"/>
      <c r="Q27" s="85">
        <v>23907</v>
      </c>
      <c r="R27" s="53">
        <f>IF(Q28&lt;&gt;0,Q28-Q21,0)</f>
        <v>1637</v>
      </c>
      <c r="S27" s="80">
        <f t="shared" si="15"/>
        <v>380</v>
      </c>
      <c r="V27" s="28">
        <f t="shared" si="2"/>
        <v>40848</v>
      </c>
      <c r="W27" s="86">
        <v>8198</v>
      </c>
      <c r="X27" s="53">
        <f>IF(W28&lt;&gt;0,W28-W21,0)</f>
        <v>307</v>
      </c>
      <c r="Y27" s="74">
        <f t="shared" si="16"/>
        <v>59</v>
      </c>
      <c r="AA27" s="34">
        <f t="shared" si="3"/>
        <v>40848</v>
      </c>
      <c r="AB27" s="85">
        <v>20769</v>
      </c>
      <c r="AC27" s="53">
        <f>IF(AB28&lt;&gt;0,AB28-AB21,0)</f>
        <v>679</v>
      </c>
      <c r="AD27" s="74">
        <f t="shared" si="17"/>
        <v>405</v>
      </c>
      <c r="AF27" s="34">
        <f t="shared" si="4"/>
        <v>40848</v>
      </c>
      <c r="AG27" s="85">
        <v>42727</v>
      </c>
      <c r="AH27" s="53">
        <f>IF(AG28&lt;&gt;0,AG28-AG21,0)</f>
        <v>9</v>
      </c>
      <c r="AI27" s="74">
        <f t="shared" si="18"/>
        <v>1</v>
      </c>
      <c r="AK27" s="28">
        <f t="shared" si="5"/>
        <v>40848</v>
      </c>
      <c r="AL27" s="85">
        <v>6106</v>
      </c>
      <c r="AM27" s="53">
        <f>IF(AL28&lt;&gt;0,AL28-AL21,0)</f>
        <v>1326</v>
      </c>
      <c r="AN27" s="74">
        <f t="shared" si="12"/>
        <v>94</v>
      </c>
      <c r="AO27" s="216"/>
      <c r="AP27" s="216"/>
    </row>
    <row r="28" spans="3:51" x14ac:dyDescent="0.25">
      <c r="C28" s="28">
        <v>40878</v>
      </c>
      <c r="D28" s="28"/>
      <c r="E28" s="85">
        <v>96298</v>
      </c>
      <c r="F28" s="79">
        <f>IF(E29&lt;&gt;0,E29-E21,0)</f>
        <v>3220</v>
      </c>
      <c r="G28" s="80">
        <f t="shared" si="13"/>
        <v>1776</v>
      </c>
      <c r="I28" s="28">
        <f t="shared" si="0"/>
        <v>40878</v>
      </c>
      <c r="J28" s="28"/>
      <c r="K28" s="86">
        <v>48607</v>
      </c>
      <c r="L28" s="53">
        <f>IF(K29&lt;&gt;0,K29-K21,0)</f>
        <v>159</v>
      </c>
      <c r="M28" s="80">
        <f t="shared" si="14"/>
        <v>122</v>
      </c>
      <c r="O28" s="28">
        <f t="shared" si="1"/>
        <v>40878</v>
      </c>
      <c r="P28" s="284"/>
      <c r="Q28" s="85">
        <v>24287</v>
      </c>
      <c r="R28" s="53">
        <f>IF(Q29&lt;&gt;0,Q29-Q21,0)</f>
        <v>2207</v>
      </c>
      <c r="S28" s="80">
        <f t="shared" si="15"/>
        <v>570</v>
      </c>
      <c r="V28" s="28">
        <f t="shared" si="2"/>
        <v>40878</v>
      </c>
      <c r="W28" s="86">
        <v>8257</v>
      </c>
      <c r="X28" s="53">
        <f>IF(W29&lt;&gt;0,W29-W21,0)</f>
        <v>375</v>
      </c>
      <c r="Y28" s="74">
        <f t="shared" si="16"/>
        <v>68</v>
      </c>
      <c r="AA28" s="34">
        <f t="shared" si="3"/>
        <v>40878</v>
      </c>
      <c r="AB28" s="85">
        <v>21174</v>
      </c>
      <c r="AC28" s="53">
        <f>IF(AB29&lt;&gt;0,AB29-AB21,0)</f>
        <v>1252</v>
      </c>
      <c r="AD28" s="74">
        <f t="shared" si="17"/>
        <v>573</v>
      </c>
      <c r="AF28" s="34">
        <f t="shared" si="4"/>
        <v>40878</v>
      </c>
      <c r="AG28" s="85">
        <v>42728</v>
      </c>
      <c r="AH28" s="53">
        <f>IF(AG29&lt;&gt;0,AG29-AG21,0)</f>
        <v>46</v>
      </c>
      <c r="AI28" s="74">
        <f t="shared" si="18"/>
        <v>37</v>
      </c>
      <c r="AK28" s="28">
        <f t="shared" si="5"/>
        <v>40878</v>
      </c>
      <c r="AL28" s="87">
        <v>6200</v>
      </c>
      <c r="AM28" s="53">
        <f>IF(AL29&lt;&gt;0,AL29-AL21,0)</f>
        <v>1457</v>
      </c>
      <c r="AN28" s="74">
        <f t="shared" si="12"/>
        <v>131</v>
      </c>
      <c r="AO28" s="216"/>
      <c r="AP28" s="216"/>
      <c r="AW28" s="178">
        <v>13</v>
      </c>
      <c r="AX28" s="190"/>
      <c r="AY28" s="179">
        <f>AW28*65</f>
        <v>845</v>
      </c>
    </row>
    <row r="29" spans="3:51" x14ac:dyDescent="0.25">
      <c r="C29" s="28">
        <v>40909</v>
      </c>
      <c r="D29" s="28"/>
      <c r="E29" s="85">
        <v>98074</v>
      </c>
      <c r="F29" s="79">
        <f>IF(E30&lt;&gt;0,E30-E21,0)</f>
        <v>5148</v>
      </c>
      <c r="G29" s="80">
        <f t="shared" si="13"/>
        <v>1928</v>
      </c>
      <c r="I29" s="28">
        <f t="shared" si="0"/>
        <v>40909</v>
      </c>
      <c r="J29" s="28"/>
      <c r="K29" s="86">
        <v>48729</v>
      </c>
      <c r="L29" s="53">
        <f>IF(K30&lt;&gt;0,K30-K21,0)</f>
        <v>256</v>
      </c>
      <c r="M29" s="80">
        <f t="shared" si="14"/>
        <v>97</v>
      </c>
      <c r="O29" s="28">
        <f t="shared" si="1"/>
        <v>40909</v>
      </c>
      <c r="P29" s="284"/>
      <c r="Q29" s="85">
        <v>24857</v>
      </c>
      <c r="R29" s="53">
        <f>IF(Q30&lt;&gt;0,Q30-Q21,0)</f>
        <v>2787</v>
      </c>
      <c r="S29" s="80">
        <f t="shared" si="15"/>
        <v>580</v>
      </c>
      <c r="V29" s="28">
        <f t="shared" si="2"/>
        <v>40909</v>
      </c>
      <c r="W29" s="86">
        <v>8325</v>
      </c>
      <c r="X29" s="53">
        <f>IF(W30&lt;&gt;0,W30-W21,0)</f>
        <v>476</v>
      </c>
      <c r="Y29" s="74">
        <f t="shared" si="16"/>
        <v>101</v>
      </c>
      <c r="AA29" s="34">
        <f t="shared" si="3"/>
        <v>40909</v>
      </c>
      <c r="AB29" s="85">
        <v>21747</v>
      </c>
      <c r="AC29" s="53">
        <f>IF(AB30&lt;&gt;0,AB30-AB21,0)</f>
        <v>1923</v>
      </c>
      <c r="AD29" s="74">
        <f t="shared" si="17"/>
        <v>671</v>
      </c>
      <c r="AF29" s="34">
        <f t="shared" si="4"/>
        <v>40909</v>
      </c>
      <c r="AG29" s="85">
        <v>42765</v>
      </c>
      <c r="AH29" s="53">
        <f>IF(AG30&lt;&gt;0,AG30-AG21,0)</f>
        <v>166</v>
      </c>
      <c r="AI29" s="74">
        <f t="shared" si="18"/>
        <v>120</v>
      </c>
      <c r="AK29" s="28">
        <f t="shared" si="5"/>
        <v>40909</v>
      </c>
      <c r="AL29" s="85">
        <v>6331</v>
      </c>
      <c r="AM29" s="53">
        <f>IF(AL30&lt;&gt;0,AL30-AL21,0)</f>
        <v>1543</v>
      </c>
      <c r="AN29" s="74">
        <f t="shared" si="12"/>
        <v>86</v>
      </c>
      <c r="AO29" s="216"/>
      <c r="AP29" s="216"/>
    </row>
    <row r="30" spans="3:51" x14ac:dyDescent="0.25">
      <c r="C30" s="28">
        <v>40940</v>
      </c>
      <c r="D30" s="28"/>
      <c r="E30" s="85">
        <v>100002</v>
      </c>
      <c r="F30" s="79">
        <f>IF(E31&lt;&gt;0,E31-E21,0)</f>
        <v>7651</v>
      </c>
      <c r="G30" s="80">
        <f t="shared" si="13"/>
        <v>2503</v>
      </c>
      <c r="I30" s="28">
        <f t="shared" si="0"/>
        <v>40940</v>
      </c>
      <c r="J30" s="28"/>
      <c r="K30" s="86">
        <v>48826</v>
      </c>
      <c r="L30" s="53">
        <f>IF(K31&lt;&gt;0,K31-K21,0)</f>
        <v>291</v>
      </c>
      <c r="M30" s="80">
        <f t="shared" si="14"/>
        <v>35</v>
      </c>
      <c r="O30" s="28">
        <f t="shared" si="1"/>
        <v>40940</v>
      </c>
      <c r="P30" s="284"/>
      <c r="Q30" s="85">
        <v>25437</v>
      </c>
      <c r="R30" s="53">
        <f>IF(Q31&lt;&gt;0,Q31-Q21,0)</f>
        <v>3384</v>
      </c>
      <c r="S30" s="80">
        <f t="shared" si="15"/>
        <v>597</v>
      </c>
      <c r="V30" s="28">
        <f t="shared" si="2"/>
        <v>40940</v>
      </c>
      <c r="W30" s="86">
        <v>8426</v>
      </c>
      <c r="X30" s="53">
        <f>IF(W31&lt;&gt;0,W31-W21,0)</f>
        <v>691</v>
      </c>
      <c r="Y30" s="74">
        <f t="shared" si="16"/>
        <v>215</v>
      </c>
      <c r="AA30" s="34">
        <f t="shared" si="3"/>
        <v>40940</v>
      </c>
      <c r="AB30" s="85">
        <v>22418</v>
      </c>
      <c r="AC30" s="53">
        <f>IF(AB31&lt;&gt;0,AB31-AB21,0)</f>
        <v>3038</v>
      </c>
      <c r="AD30" s="74">
        <f t="shared" si="17"/>
        <v>1115</v>
      </c>
      <c r="AF30" s="34">
        <f t="shared" si="4"/>
        <v>40940</v>
      </c>
      <c r="AG30" s="85">
        <v>42885</v>
      </c>
      <c r="AH30" s="53">
        <f>IF(AG31&lt;&gt;0,AG31-AG21,0)</f>
        <v>631</v>
      </c>
      <c r="AI30" s="74">
        <f t="shared" si="18"/>
        <v>465</v>
      </c>
      <c r="AK30" s="28">
        <f t="shared" si="5"/>
        <v>40940</v>
      </c>
      <c r="AL30" s="85">
        <v>6417</v>
      </c>
      <c r="AM30" s="53">
        <f>IF(AL31&lt;&gt;0,AL31-AL21,0)</f>
        <v>1713</v>
      </c>
      <c r="AN30" s="74">
        <f t="shared" si="12"/>
        <v>170</v>
      </c>
      <c r="AO30" s="216"/>
      <c r="AP30" s="216"/>
    </row>
    <row r="31" spans="3:51" x14ac:dyDescent="0.25">
      <c r="C31" s="28">
        <v>40969</v>
      </c>
      <c r="D31" s="28"/>
      <c r="E31" s="85">
        <v>102505</v>
      </c>
      <c r="F31" s="79">
        <f>IF(E32&lt;&gt;0,E32-E21,0)</f>
        <v>8266</v>
      </c>
      <c r="G31" s="80">
        <f t="shared" si="13"/>
        <v>615</v>
      </c>
      <c r="I31" s="28">
        <f t="shared" si="0"/>
        <v>40969</v>
      </c>
      <c r="J31" s="28"/>
      <c r="K31" s="86">
        <v>48861</v>
      </c>
      <c r="L31" s="53">
        <f>IF(K32&lt;&gt;0,K32-K21,0)</f>
        <v>212</v>
      </c>
      <c r="M31" s="80">
        <f t="shared" si="14"/>
        <v>-79</v>
      </c>
      <c r="O31" s="28">
        <f t="shared" si="1"/>
        <v>40969</v>
      </c>
      <c r="P31" s="284"/>
      <c r="Q31" s="85">
        <v>26034</v>
      </c>
      <c r="R31" s="53">
        <f>IF(Q32&lt;&gt;0,Q32-Q21,0)</f>
        <v>3899</v>
      </c>
      <c r="S31" s="80">
        <f t="shared" si="15"/>
        <v>515</v>
      </c>
      <c r="V31" s="28">
        <f t="shared" si="2"/>
        <v>40969</v>
      </c>
      <c r="W31" s="86">
        <v>8641</v>
      </c>
      <c r="X31" s="53">
        <f>IF(W32&lt;&gt;0,W32-W21,0)</f>
        <v>757</v>
      </c>
      <c r="Y31" s="74">
        <f t="shared" si="16"/>
        <v>66</v>
      </c>
      <c r="AA31" s="34">
        <f t="shared" si="3"/>
        <v>40969</v>
      </c>
      <c r="AB31" s="85">
        <v>23533</v>
      </c>
      <c r="AC31" s="53">
        <f>IF(AB32&lt;&gt;0,AB32-AB21,0)</f>
        <v>3453</v>
      </c>
      <c r="AD31" s="74">
        <f t="shared" si="17"/>
        <v>415</v>
      </c>
      <c r="AF31" s="34">
        <f t="shared" si="4"/>
        <v>40969</v>
      </c>
      <c r="AG31" s="85">
        <v>43350</v>
      </c>
      <c r="AH31" s="53">
        <f>IF(AG32&lt;&gt;0,AG32-AG21,0)</f>
        <v>676</v>
      </c>
      <c r="AI31" s="74">
        <f t="shared" si="18"/>
        <v>45</v>
      </c>
      <c r="AK31" s="28">
        <f t="shared" si="5"/>
        <v>40969</v>
      </c>
      <c r="AL31" s="85">
        <v>6587</v>
      </c>
      <c r="AM31" s="53">
        <f>IF(AL32&lt;&gt;0,AL32-AL21,0)</f>
        <v>1998</v>
      </c>
      <c r="AN31" s="74">
        <f t="shared" si="12"/>
        <v>285</v>
      </c>
      <c r="AO31" s="216"/>
      <c r="AP31" s="216"/>
    </row>
    <row r="32" spans="3:51" x14ac:dyDescent="0.25">
      <c r="C32" s="28">
        <v>41000</v>
      </c>
      <c r="D32" s="28"/>
      <c r="E32" s="85">
        <v>103120</v>
      </c>
      <c r="F32" s="79">
        <f>IF(E33&lt;&gt;0,E33-E21,0)</f>
        <v>8977</v>
      </c>
      <c r="G32" s="80">
        <f t="shared" si="13"/>
        <v>711</v>
      </c>
      <c r="I32" s="28">
        <f t="shared" si="0"/>
        <v>41000</v>
      </c>
      <c r="J32" s="28"/>
      <c r="K32" s="86">
        <v>48782</v>
      </c>
      <c r="L32" s="53">
        <f>IF(K33&lt;&gt;0,K33-K21,0)</f>
        <v>130</v>
      </c>
      <c r="M32" s="80">
        <f t="shared" si="14"/>
        <v>-82</v>
      </c>
      <c r="O32" s="28">
        <f t="shared" si="1"/>
        <v>41000</v>
      </c>
      <c r="P32" s="284"/>
      <c r="Q32" s="85">
        <v>26549</v>
      </c>
      <c r="R32" s="53">
        <f>IF(Q33&lt;&gt;0,Q33-Q21,0)</f>
        <v>4305</v>
      </c>
      <c r="S32" s="80">
        <f t="shared" si="15"/>
        <v>406</v>
      </c>
      <c r="V32" s="28">
        <f t="shared" si="2"/>
        <v>41000</v>
      </c>
      <c r="W32" s="86">
        <v>8707</v>
      </c>
      <c r="X32" s="53">
        <f>IF(W33&lt;&gt;0,W33-W21,0)</f>
        <v>826</v>
      </c>
      <c r="Y32" s="74">
        <f t="shared" si="16"/>
        <v>69</v>
      </c>
      <c r="AA32" s="34">
        <f t="shared" si="3"/>
        <v>41000</v>
      </c>
      <c r="AB32" s="85">
        <v>23948</v>
      </c>
      <c r="AC32" s="53">
        <f>IF(AB33&lt;&gt;0,AB33-AB21,0)</f>
        <v>3726</v>
      </c>
      <c r="AD32" s="74">
        <f t="shared" si="17"/>
        <v>273</v>
      </c>
      <c r="AF32" s="34">
        <f t="shared" si="4"/>
        <v>41000</v>
      </c>
      <c r="AG32" s="85">
        <v>43395</v>
      </c>
      <c r="AH32" s="53">
        <f>IF(AG33&lt;&gt;0,AG33-AG21,0)</f>
        <v>681</v>
      </c>
      <c r="AI32" s="74">
        <f t="shared" si="18"/>
        <v>5</v>
      </c>
      <c r="AK32" s="28">
        <f t="shared" si="5"/>
        <v>41000</v>
      </c>
      <c r="AL32" s="85">
        <v>6872</v>
      </c>
      <c r="AM32" s="53">
        <f>IF(AL33&lt;&gt;0,AL33-AL21,0)</f>
        <v>2322</v>
      </c>
      <c r="AN32" s="74">
        <f t="shared" si="12"/>
        <v>324</v>
      </c>
      <c r="AO32" s="216"/>
      <c r="AP32" s="216"/>
    </row>
    <row r="33" spans="3:51" x14ac:dyDescent="0.25">
      <c r="C33" s="28">
        <v>41030</v>
      </c>
      <c r="D33" s="28"/>
      <c r="E33" s="85">
        <v>103831</v>
      </c>
      <c r="F33" s="79">
        <f>IF(E34&lt;&gt;0,E34-E21,0)</f>
        <v>9133</v>
      </c>
      <c r="G33" s="80">
        <f t="shared" si="13"/>
        <v>156</v>
      </c>
      <c r="I33" s="28">
        <f t="shared" si="0"/>
        <v>41030</v>
      </c>
      <c r="J33" s="28"/>
      <c r="K33" s="86">
        <v>48700</v>
      </c>
      <c r="L33" s="53">
        <f>IF(K34&lt;&gt;0,K34-K21,0)</f>
        <v>-13</v>
      </c>
      <c r="M33" s="80">
        <f t="shared" si="14"/>
        <v>-143</v>
      </c>
      <c r="O33" s="28">
        <f t="shared" si="1"/>
        <v>41030</v>
      </c>
      <c r="P33" s="284"/>
      <c r="Q33" s="85">
        <v>26955</v>
      </c>
      <c r="R33" s="53">
        <f>IF(Q34&lt;&gt;0,Q34-Q21,0)</f>
        <v>4637</v>
      </c>
      <c r="S33" s="80">
        <f t="shared" si="15"/>
        <v>332</v>
      </c>
      <c r="V33" s="28">
        <f t="shared" si="2"/>
        <v>41030</v>
      </c>
      <c r="W33" s="86">
        <v>8776</v>
      </c>
      <c r="X33" s="53">
        <f>IF(W34&lt;&gt;0,W34-W21,0)</f>
        <v>898</v>
      </c>
      <c r="Y33" s="74">
        <f t="shared" si="16"/>
        <v>72</v>
      </c>
      <c r="AA33" s="34">
        <f t="shared" si="3"/>
        <v>41030</v>
      </c>
      <c r="AB33" s="85">
        <v>24221</v>
      </c>
      <c r="AC33" s="53">
        <f>IF(AB34&lt;&gt;0,AB34-AB21,0)</f>
        <v>3816</v>
      </c>
      <c r="AD33" s="74">
        <f t="shared" si="17"/>
        <v>90</v>
      </c>
      <c r="AF33" s="34">
        <f t="shared" si="4"/>
        <v>41030</v>
      </c>
      <c r="AG33" s="85">
        <v>43400</v>
      </c>
      <c r="AH33" s="53">
        <f>IF(AG34&lt;&gt;0,AG34-AG21,0)</f>
        <v>685</v>
      </c>
      <c r="AI33" s="74">
        <f t="shared" si="18"/>
        <v>4</v>
      </c>
      <c r="AK33" s="28">
        <f t="shared" si="5"/>
        <v>41030</v>
      </c>
      <c r="AL33" s="85">
        <v>7196</v>
      </c>
      <c r="AM33" s="53">
        <f>IF(AL34&lt;&gt;0,AL34-AL21,0)</f>
        <v>2732</v>
      </c>
      <c r="AN33" s="74">
        <f t="shared" si="12"/>
        <v>410</v>
      </c>
      <c r="AO33" s="216"/>
      <c r="AP33" s="216"/>
    </row>
    <row r="34" spans="3:51" x14ac:dyDescent="0.25">
      <c r="C34" s="28">
        <v>41061</v>
      </c>
      <c r="D34" s="28"/>
      <c r="E34" s="85">
        <v>103987</v>
      </c>
      <c r="F34" s="79">
        <f>IF(E35&lt;&gt;0,E35-E21,0)</f>
        <v>9133</v>
      </c>
      <c r="G34" s="80">
        <f t="shared" si="13"/>
        <v>0</v>
      </c>
      <c r="I34" s="28">
        <f t="shared" si="0"/>
        <v>41061</v>
      </c>
      <c r="J34" s="28"/>
      <c r="K34" s="86">
        <v>48557</v>
      </c>
      <c r="L34" s="53">
        <f>IF(K35&lt;&gt;0,K35-K21,0)</f>
        <v>-57</v>
      </c>
      <c r="M34" s="80">
        <f t="shared" si="14"/>
        <v>-44</v>
      </c>
      <c r="O34" s="28">
        <f t="shared" si="1"/>
        <v>41061</v>
      </c>
      <c r="P34" s="284"/>
      <c r="Q34" s="85">
        <v>27287</v>
      </c>
      <c r="R34" s="53">
        <f>IF(Q35&lt;&gt;0,Q35-Q21,0)</f>
        <v>4905</v>
      </c>
      <c r="S34" s="80">
        <f t="shared" si="15"/>
        <v>268</v>
      </c>
      <c r="V34" s="28">
        <f t="shared" si="2"/>
        <v>41061</v>
      </c>
      <c r="W34" s="86">
        <v>8848</v>
      </c>
      <c r="X34" s="53">
        <f>IF(W35&lt;&gt;0,W35-W21,0)</f>
        <v>973</v>
      </c>
      <c r="Y34" s="74">
        <f t="shared" si="16"/>
        <v>75</v>
      </c>
      <c r="AA34" s="34">
        <f t="shared" si="3"/>
        <v>41061</v>
      </c>
      <c r="AB34" s="85">
        <v>24311</v>
      </c>
      <c r="AC34" s="53">
        <f>IF(AB35&lt;&gt;0,AB35-AB21,0)</f>
        <v>3862</v>
      </c>
      <c r="AD34" s="74">
        <f t="shared" si="17"/>
        <v>46</v>
      </c>
      <c r="AF34" s="34">
        <f t="shared" si="4"/>
        <v>41061</v>
      </c>
      <c r="AG34" s="85">
        <v>43404</v>
      </c>
      <c r="AH34" s="53">
        <f>IF(AG35&lt;&gt;0,AG35-AG21,0)</f>
        <v>688</v>
      </c>
      <c r="AI34" s="74">
        <f t="shared" si="18"/>
        <v>3</v>
      </c>
      <c r="AK34" s="28">
        <f t="shared" si="5"/>
        <v>41061</v>
      </c>
      <c r="AL34" s="85">
        <v>7606</v>
      </c>
      <c r="AM34" s="53">
        <f>IF(AL35&lt;&gt;0,AL35-AL21,0)</f>
        <v>3128</v>
      </c>
      <c r="AN34" s="74">
        <f t="shared" si="12"/>
        <v>396</v>
      </c>
      <c r="AO34" s="216"/>
      <c r="AP34" s="216"/>
    </row>
    <row r="35" spans="3:51" x14ac:dyDescent="0.25">
      <c r="C35" s="28">
        <v>41091</v>
      </c>
      <c r="D35" s="28"/>
      <c r="E35" s="88">
        <v>103987</v>
      </c>
      <c r="F35" s="89"/>
      <c r="G35" s="90"/>
      <c r="I35" s="28">
        <f t="shared" si="0"/>
        <v>41091</v>
      </c>
      <c r="J35" s="28"/>
      <c r="K35" s="91">
        <v>48513</v>
      </c>
      <c r="L35" s="49"/>
      <c r="M35" s="92"/>
      <c r="O35" s="28">
        <f t="shared" si="1"/>
        <v>41091</v>
      </c>
      <c r="P35" s="284"/>
      <c r="Q35" s="88">
        <v>27555</v>
      </c>
      <c r="R35" s="49"/>
      <c r="S35" s="92"/>
      <c r="V35" s="28">
        <f t="shared" si="2"/>
        <v>41091</v>
      </c>
      <c r="W35" s="91">
        <v>8923</v>
      </c>
      <c r="X35" s="49"/>
      <c r="Y35" s="92"/>
      <c r="AA35" s="34">
        <f t="shared" si="3"/>
        <v>41091</v>
      </c>
      <c r="AB35" s="88">
        <v>24357</v>
      </c>
      <c r="AC35" s="49"/>
      <c r="AD35" s="92"/>
      <c r="AF35" s="34">
        <f t="shared" si="4"/>
        <v>41091</v>
      </c>
      <c r="AG35" s="88">
        <v>43407</v>
      </c>
      <c r="AH35" s="49"/>
      <c r="AI35" s="92"/>
      <c r="AK35" s="28">
        <f t="shared" si="5"/>
        <v>41091</v>
      </c>
      <c r="AL35" s="88">
        <v>8002</v>
      </c>
      <c r="AM35" s="49"/>
      <c r="AN35" s="92"/>
      <c r="AO35" s="216"/>
      <c r="AP35" s="216"/>
    </row>
    <row r="36" spans="3:51" x14ac:dyDescent="0.25">
      <c r="C36" s="52" t="s">
        <v>18</v>
      </c>
      <c r="D36" s="52"/>
      <c r="E36" s="93"/>
      <c r="F36" s="79"/>
      <c r="G36" s="54">
        <f>SUM(G21:G35)</f>
        <v>9133</v>
      </c>
      <c r="I36" s="28" t="str">
        <f t="shared" si="0"/>
        <v xml:space="preserve">  </v>
      </c>
      <c r="J36" s="28"/>
      <c r="K36" s="94"/>
      <c r="L36" s="54"/>
      <c r="M36" s="54">
        <f>SUM(M21:M35)</f>
        <v>-57</v>
      </c>
      <c r="O36" s="28" t="str">
        <f t="shared" si="1"/>
        <v xml:space="preserve">  </v>
      </c>
      <c r="P36" s="284"/>
      <c r="Q36" s="93"/>
      <c r="R36" s="93"/>
      <c r="S36" s="54">
        <f>SUM(S21:S35)</f>
        <v>4905</v>
      </c>
      <c r="V36" s="28" t="str">
        <f t="shared" si="2"/>
        <v xml:space="preserve">  </v>
      </c>
      <c r="W36" s="94"/>
      <c r="X36" s="53"/>
      <c r="Y36" s="54">
        <f>SUM(Y21:Y35)</f>
        <v>973</v>
      </c>
      <c r="AA36" s="34" t="str">
        <f t="shared" si="3"/>
        <v xml:space="preserve">  </v>
      </c>
      <c r="AB36" s="93"/>
      <c r="AC36" s="93"/>
      <c r="AD36" s="54">
        <f>SUM(AD21:AD35)</f>
        <v>3862</v>
      </c>
      <c r="AF36" s="34" t="str">
        <f t="shared" si="4"/>
        <v xml:space="preserve">  </v>
      </c>
      <c r="AG36" s="79"/>
      <c r="AH36" s="95"/>
      <c r="AI36" s="54">
        <f>SUM(AI21:AI35)</f>
        <v>688</v>
      </c>
      <c r="AK36" s="28" t="str">
        <f t="shared" si="5"/>
        <v xml:space="preserve">  </v>
      </c>
      <c r="AL36" s="93"/>
      <c r="AM36" s="79"/>
      <c r="AN36" s="54">
        <f>SUM(AN21:AN35)</f>
        <v>3128</v>
      </c>
      <c r="AO36" s="54"/>
      <c r="AP36" s="54"/>
    </row>
    <row r="37" spans="3:51" x14ac:dyDescent="0.25">
      <c r="C37" s="20"/>
      <c r="D37" s="20"/>
      <c r="E37" s="96" t="s">
        <v>5</v>
      </c>
      <c r="F37" s="97" t="s">
        <v>1</v>
      </c>
      <c r="G37" s="98" t="s">
        <v>2</v>
      </c>
      <c r="I37" s="28">
        <f t="shared" si="0"/>
        <v>0</v>
      </c>
      <c r="J37" s="28"/>
      <c r="K37" s="96" t="s">
        <v>5</v>
      </c>
      <c r="L37" s="97" t="s">
        <v>1</v>
      </c>
      <c r="M37" s="98" t="s">
        <v>2</v>
      </c>
      <c r="O37" s="28">
        <f t="shared" si="1"/>
        <v>0</v>
      </c>
      <c r="P37" s="284"/>
      <c r="Q37" s="63" t="s">
        <v>5</v>
      </c>
      <c r="R37" s="64" t="s">
        <v>1</v>
      </c>
      <c r="S37" s="65" t="s">
        <v>2</v>
      </c>
      <c r="V37" s="28">
        <f t="shared" si="2"/>
        <v>0</v>
      </c>
      <c r="W37" s="96" t="s">
        <v>5</v>
      </c>
      <c r="X37" s="97" t="s">
        <v>1</v>
      </c>
      <c r="Y37" s="98" t="s">
        <v>2</v>
      </c>
      <c r="AA37" s="34">
        <f t="shared" si="3"/>
        <v>0</v>
      </c>
      <c r="AB37" s="63" t="s">
        <v>5</v>
      </c>
      <c r="AC37" s="64" t="s">
        <v>1</v>
      </c>
      <c r="AD37" s="65" t="s">
        <v>2</v>
      </c>
      <c r="AF37" s="34">
        <f t="shared" si="4"/>
        <v>0</v>
      </c>
      <c r="AG37" s="99" t="s">
        <v>5</v>
      </c>
      <c r="AH37" s="64" t="s">
        <v>1</v>
      </c>
      <c r="AI37" s="100" t="s">
        <v>2</v>
      </c>
      <c r="AK37" s="28">
        <f t="shared" si="5"/>
        <v>0</v>
      </c>
      <c r="AL37" s="63" t="s">
        <v>5</v>
      </c>
      <c r="AM37" s="64" t="s">
        <v>1</v>
      </c>
      <c r="AN37" s="65" t="s">
        <v>2</v>
      </c>
      <c r="AO37" s="215"/>
      <c r="AP37" s="215"/>
    </row>
    <row r="38" spans="3:51" x14ac:dyDescent="0.25">
      <c r="C38" s="28">
        <v>41091</v>
      </c>
      <c r="D38" s="28"/>
      <c r="E38" s="66">
        <f>E35</f>
        <v>103987</v>
      </c>
      <c r="F38" s="67">
        <f>IF(E41&lt;&gt;0,E41-E38,"")</f>
        <v>0</v>
      </c>
      <c r="G38" s="68">
        <f>IF(E41&lt;&gt;0,E41-E38,0)</f>
        <v>0</v>
      </c>
      <c r="I38" s="28">
        <f t="shared" si="0"/>
        <v>41091</v>
      </c>
      <c r="J38" s="28"/>
      <c r="K38" s="69">
        <f>K35</f>
        <v>48513</v>
      </c>
      <c r="L38" s="70">
        <f>IF(K41&lt;&gt;0,K41-K38,0)</f>
        <v>-179</v>
      </c>
      <c r="M38" s="68">
        <f>IF(K41&lt;&gt;0,K41-K38,0)</f>
        <v>-179</v>
      </c>
      <c r="O38" s="28">
        <f t="shared" si="1"/>
        <v>41091</v>
      </c>
      <c r="P38" s="284"/>
      <c r="Q38" s="71">
        <f>Q35</f>
        <v>27555</v>
      </c>
      <c r="R38" s="70">
        <f>IF(Q41&lt;&gt;0,Q41-Q38,0)</f>
        <v>151</v>
      </c>
      <c r="S38" s="68">
        <f>IF(Q41&lt;&gt;0,Q41-Q38,0)</f>
        <v>151</v>
      </c>
      <c r="V38" s="28">
        <f t="shared" si="2"/>
        <v>41091</v>
      </c>
      <c r="W38" s="69">
        <f>W35</f>
        <v>8923</v>
      </c>
      <c r="X38" s="70">
        <f>IF(W41&lt;&gt;0,W41-W38,0)</f>
        <v>43</v>
      </c>
      <c r="Y38" s="72">
        <f>IF(W41&lt;&gt;0,W41-W38,0)</f>
        <v>43</v>
      </c>
      <c r="AA38" s="34">
        <f t="shared" si="3"/>
        <v>41091</v>
      </c>
      <c r="AB38" s="71">
        <f>AB35</f>
        <v>24357</v>
      </c>
      <c r="AC38" s="70">
        <f>IF(AB41&lt;&gt;0,AB41-AB38,0)</f>
        <v>27</v>
      </c>
      <c r="AD38" s="72">
        <f>IF(AB41&lt;&gt;0,AB41-AB38,0)</f>
        <v>27</v>
      </c>
      <c r="AF38" s="34">
        <f t="shared" si="4"/>
        <v>41091</v>
      </c>
      <c r="AG38" s="73">
        <f>AG35</f>
        <v>43407</v>
      </c>
      <c r="AH38" s="70">
        <f>IF(AG41&lt;&gt;0,AG41-AG38,0)</f>
        <v>3</v>
      </c>
      <c r="AI38" s="74">
        <f>IF(AG41&lt;&gt;0,AG41-AG38,"")</f>
        <v>3</v>
      </c>
      <c r="AK38" s="28">
        <f t="shared" si="5"/>
        <v>41091</v>
      </c>
      <c r="AL38" s="75">
        <f>AL35</f>
        <v>8002</v>
      </c>
      <c r="AM38" s="70">
        <f>IF(AL41&lt;&gt;0,AL41-AL38,0)</f>
        <v>370</v>
      </c>
      <c r="AN38" s="72">
        <f>IF(AL41&lt;&gt;0,AL41-AL38,0)</f>
        <v>370</v>
      </c>
      <c r="AO38" s="216"/>
      <c r="AP38" s="216"/>
    </row>
    <row r="39" spans="3:51" ht="15.75" thickBot="1" x14ac:dyDescent="0.3">
      <c r="C39" s="76" t="s">
        <v>21</v>
      </c>
      <c r="D39" s="77">
        <v>41095</v>
      </c>
      <c r="E39" s="78">
        <v>103987</v>
      </c>
      <c r="F39" s="79"/>
      <c r="G39" s="80"/>
      <c r="I39" s="101" t="str">
        <f>C39</f>
        <v>BELPOWER</v>
      </c>
      <c r="J39" s="101"/>
      <c r="K39" s="81">
        <v>48513</v>
      </c>
      <c r="L39" s="53"/>
      <c r="M39" s="80"/>
      <c r="O39" s="101" t="str">
        <f>C39</f>
        <v>BELPOWER</v>
      </c>
      <c r="P39" s="288"/>
      <c r="Q39" s="82">
        <v>27555</v>
      </c>
      <c r="R39" s="53"/>
      <c r="S39" s="80"/>
      <c r="V39" s="101" t="str">
        <f>C39</f>
        <v>BELPOWER</v>
      </c>
      <c r="W39" s="81">
        <v>8923</v>
      </c>
      <c r="X39" s="53"/>
      <c r="Y39" s="74"/>
      <c r="AA39" s="77" t="str">
        <f>C39</f>
        <v>BELPOWER</v>
      </c>
      <c r="AB39" s="82">
        <v>24357</v>
      </c>
      <c r="AC39" s="53"/>
      <c r="AD39" s="74"/>
      <c r="AF39" s="77"/>
      <c r="AG39" s="78">
        <v>43407</v>
      </c>
      <c r="AH39" s="53"/>
      <c r="AI39" s="74"/>
      <c r="AK39" s="28" t="str">
        <f>C39</f>
        <v>BELPOWER</v>
      </c>
      <c r="AL39" s="78"/>
      <c r="AM39" s="53"/>
      <c r="AN39" s="74"/>
      <c r="AO39" s="216"/>
      <c r="AP39" s="216"/>
    </row>
    <row r="40" spans="3:51" ht="15.75" thickBot="1" x14ac:dyDescent="0.3">
      <c r="C40" s="76"/>
      <c r="D40" s="77"/>
      <c r="E40" s="83">
        <f>+E39-E22</f>
        <v>9133</v>
      </c>
      <c r="F40" s="79"/>
      <c r="G40" s="80"/>
      <c r="I40" s="101"/>
      <c r="J40" s="101"/>
      <c r="K40" s="83">
        <f>+K39-K22</f>
        <v>-17</v>
      </c>
      <c r="L40" s="53"/>
      <c r="M40" s="80"/>
      <c r="O40" s="101"/>
      <c r="P40" s="288"/>
      <c r="Q40" s="83">
        <f>+Q39-Q22</f>
        <v>4876</v>
      </c>
      <c r="R40" s="53"/>
      <c r="S40" s="80"/>
      <c r="V40" s="101"/>
      <c r="W40" s="83">
        <f>+W39-W22</f>
        <v>959</v>
      </c>
      <c r="X40" s="53"/>
      <c r="Y40" s="74"/>
      <c r="AA40" s="77"/>
      <c r="AB40" s="83">
        <f>+AB39-AB22</f>
        <v>3858</v>
      </c>
      <c r="AC40" s="53"/>
      <c r="AD40" s="74"/>
      <c r="AF40" s="77"/>
      <c r="AG40" s="83">
        <f>+AG39-AG22</f>
        <v>687</v>
      </c>
      <c r="AH40" s="53"/>
      <c r="AI40" s="74"/>
      <c r="AK40" s="28"/>
      <c r="AL40" s="78"/>
      <c r="AM40" s="53"/>
      <c r="AN40" s="74"/>
      <c r="AO40" s="216"/>
      <c r="AP40" s="216"/>
    </row>
    <row r="41" spans="3:51" x14ac:dyDescent="0.25">
      <c r="C41" s="28">
        <v>41122</v>
      </c>
      <c r="D41" s="28"/>
      <c r="E41" s="85">
        <v>103987</v>
      </c>
      <c r="F41" s="79">
        <f>IF(E42&lt;&gt;0,E42-E38,"")</f>
        <v>0</v>
      </c>
      <c r="G41" s="80">
        <f>IF(E42&lt;&gt;0,E42-E41,0)</f>
        <v>0</v>
      </c>
      <c r="I41" s="28">
        <f t="shared" si="0"/>
        <v>41122</v>
      </c>
      <c r="J41" s="28"/>
      <c r="K41" s="86">
        <v>48334</v>
      </c>
      <c r="L41" s="53">
        <f>IF(K42&lt;&gt;0,K42-K38,0)</f>
        <v>-329</v>
      </c>
      <c r="M41" s="80">
        <f>IF(K42&lt;&gt;0,K42-K41,0)</f>
        <v>-150</v>
      </c>
      <c r="O41" s="28">
        <f t="shared" si="1"/>
        <v>41122</v>
      </c>
      <c r="P41" s="284"/>
      <c r="Q41" s="85">
        <v>27706</v>
      </c>
      <c r="R41" s="53">
        <f>IF(Q42&lt;&gt;0,Q42-Q38,0)</f>
        <v>348</v>
      </c>
      <c r="S41" s="80">
        <f>IF(Q42&lt;&gt;0,Q42-Q41,0)</f>
        <v>197</v>
      </c>
      <c r="V41" s="28">
        <f t="shared" si="2"/>
        <v>41122</v>
      </c>
      <c r="W41" s="86">
        <v>8966</v>
      </c>
      <c r="X41" s="53">
        <f>IF(W42&lt;&gt;0,W42-W38,0)</f>
        <v>130</v>
      </c>
      <c r="Y41" s="74">
        <f>IF(W42&lt;&gt;0,W42-W41,0)</f>
        <v>87</v>
      </c>
      <c r="AA41" s="34">
        <f t="shared" si="3"/>
        <v>41122</v>
      </c>
      <c r="AB41" s="85">
        <v>24384</v>
      </c>
      <c r="AC41" s="53">
        <f>IF(AB42&lt;&gt;0,AB42-AB38,0)</f>
        <v>83</v>
      </c>
      <c r="AD41" s="74">
        <f>IF(AB42&lt;&gt;0,AB42-AB41,0)</f>
        <v>56</v>
      </c>
      <c r="AF41" s="34">
        <f t="shared" si="4"/>
        <v>41122</v>
      </c>
      <c r="AG41" s="85">
        <v>43410</v>
      </c>
      <c r="AH41" s="53">
        <f>IF(AG42&lt;&gt;0,AG42-AG38,0)</f>
        <v>7</v>
      </c>
      <c r="AI41" s="74">
        <f>IF(AG42&lt;&gt;0,AG42-AG41,"")</f>
        <v>4</v>
      </c>
      <c r="AK41" s="28">
        <f t="shared" si="5"/>
        <v>41122</v>
      </c>
      <c r="AL41" s="85">
        <v>8372</v>
      </c>
      <c r="AM41" s="53">
        <f>IF(AL42&lt;&gt;0,AL42-AL38,0)</f>
        <v>798</v>
      </c>
      <c r="AN41" s="74">
        <f t="shared" ref="AN41:AN51" si="19">IF(AL42&lt;&gt;0,AL42-AL41,0)</f>
        <v>428</v>
      </c>
      <c r="AO41" s="216"/>
      <c r="AP41" s="216"/>
    </row>
    <row r="42" spans="3:51" x14ac:dyDescent="0.25">
      <c r="C42" s="28">
        <v>41153</v>
      </c>
      <c r="D42" s="28"/>
      <c r="E42" s="85">
        <v>103987</v>
      </c>
      <c r="F42" s="79">
        <f>IF(E43&lt;&gt;0,E43-E38,"")</f>
        <v>0</v>
      </c>
      <c r="G42" s="80">
        <f t="shared" ref="G42:G51" si="20">IF(E43&lt;&gt;0,E43-E42,0)</f>
        <v>0</v>
      </c>
      <c r="I42" s="28">
        <f t="shared" si="0"/>
        <v>41153</v>
      </c>
      <c r="J42" s="28"/>
      <c r="K42" s="86">
        <v>48184</v>
      </c>
      <c r="L42" s="53">
        <f>IF(K43&lt;&gt;0,K43-K38,0)</f>
        <v>-336</v>
      </c>
      <c r="M42" s="80">
        <f t="shared" ref="M42:M51" si="21">IF(K43&lt;&gt;0,K43-K42,0)</f>
        <v>-7</v>
      </c>
      <c r="O42" s="28">
        <f t="shared" si="1"/>
        <v>41153</v>
      </c>
      <c r="P42" s="284"/>
      <c r="Q42" s="85">
        <v>27903</v>
      </c>
      <c r="R42" s="53">
        <f>IF(Q43&lt;&gt;0,Q43-Q38,0)</f>
        <v>543</v>
      </c>
      <c r="S42" s="80">
        <f t="shared" ref="S42:S51" si="22">IF(Q43&lt;&gt;0,Q43-Q42,0)</f>
        <v>195</v>
      </c>
      <c r="V42" s="28">
        <f t="shared" si="2"/>
        <v>41153</v>
      </c>
      <c r="W42" s="86">
        <v>9053</v>
      </c>
      <c r="X42" s="53">
        <f>IF(W43&lt;&gt;0,W43-W38,0)</f>
        <v>209</v>
      </c>
      <c r="Y42" s="74">
        <f t="shared" ref="Y42:Y51" si="23">IF(W43&lt;&gt;0,W43-W42,0)</f>
        <v>79</v>
      </c>
      <c r="AA42" s="34">
        <f t="shared" si="3"/>
        <v>41153</v>
      </c>
      <c r="AB42" s="85">
        <v>24440</v>
      </c>
      <c r="AC42" s="53">
        <f>IF(AB43&lt;&gt;0,AB43-AB38,0)</f>
        <v>199</v>
      </c>
      <c r="AD42" s="74">
        <f t="shared" ref="AD42:AD51" si="24">IF(AB43&lt;&gt;0,AB43-AB42,0)</f>
        <v>116</v>
      </c>
      <c r="AF42" s="34">
        <f t="shared" si="4"/>
        <v>41153</v>
      </c>
      <c r="AG42" s="85">
        <v>43414</v>
      </c>
      <c r="AH42" s="53">
        <f>IF(AG43&lt;&gt;0,AG43-AG38,0)</f>
        <v>28</v>
      </c>
      <c r="AI42" s="74">
        <f t="shared" ref="AI42:AI51" si="25">IF(AG43&lt;&gt;0,AG43-AG42,"")</f>
        <v>21</v>
      </c>
      <c r="AK42" s="28">
        <f t="shared" si="5"/>
        <v>41153</v>
      </c>
      <c r="AL42" s="85">
        <v>8800</v>
      </c>
      <c r="AM42" s="53">
        <f>IF(AL43&lt;&gt;0,AL43-AL38,0)</f>
        <v>1082</v>
      </c>
      <c r="AN42" s="74">
        <f t="shared" si="19"/>
        <v>284</v>
      </c>
      <c r="AO42" s="216"/>
      <c r="AP42" s="216"/>
    </row>
    <row r="43" spans="3:51" x14ac:dyDescent="0.25">
      <c r="C43" s="28">
        <v>41183</v>
      </c>
      <c r="D43" s="28"/>
      <c r="E43" s="85">
        <v>103987</v>
      </c>
      <c r="F43" s="79">
        <f>IF(E44&lt;&gt;0,E44-E38,0)</f>
        <v>571</v>
      </c>
      <c r="G43" s="80">
        <f t="shared" si="20"/>
        <v>571</v>
      </c>
      <c r="I43" s="28">
        <f t="shared" si="0"/>
        <v>41183</v>
      </c>
      <c r="J43" s="28"/>
      <c r="K43" s="86">
        <v>48177</v>
      </c>
      <c r="L43" s="53">
        <f>IF(K44&lt;&gt;0,K44-K38,0)</f>
        <v>-310</v>
      </c>
      <c r="M43" s="80">
        <f t="shared" si="21"/>
        <v>26</v>
      </c>
      <c r="O43" s="28">
        <f t="shared" si="1"/>
        <v>41183</v>
      </c>
      <c r="P43" s="284"/>
      <c r="Q43" s="85">
        <v>28098</v>
      </c>
      <c r="R43" s="53">
        <f>IF(Q44&lt;&gt;0,Q44-Q38,0)</f>
        <v>923</v>
      </c>
      <c r="S43" s="80">
        <f t="shared" si="22"/>
        <v>380</v>
      </c>
      <c r="V43" s="28">
        <f t="shared" si="2"/>
        <v>41183</v>
      </c>
      <c r="W43" s="86">
        <v>9132</v>
      </c>
      <c r="X43" s="53">
        <f>IF(W44&lt;&gt;0,W44-W38,0)</f>
        <v>288</v>
      </c>
      <c r="Y43" s="74">
        <f t="shared" si="23"/>
        <v>79</v>
      </c>
      <c r="AA43" s="34">
        <f t="shared" si="3"/>
        <v>41183</v>
      </c>
      <c r="AB43" s="85">
        <v>24556</v>
      </c>
      <c r="AC43" s="53">
        <f>IF(AB44&lt;&gt;0,AB44-AB38,0)</f>
        <v>492</v>
      </c>
      <c r="AD43" s="74">
        <f t="shared" si="24"/>
        <v>293</v>
      </c>
      <c r="AF43" s="34">
        <f t="shared" si="4"/>
        <v>41183</v>
      </c>
      <c r="AG43" s="85">
        <v>43435</v>
      </c>
      <c r="AH43" s="53">
        <f>IF(AG44&lt;&gt;0,AG44-AG38,0)</f>
        <v>30</v>
      </c>
      <c r="AI43" s="74">
        <f t="shared" si="25"/>
        <v>2</v>
      </c>
      <c r="AK43" s="28">
        <f t="shared" si="5"/>
        <v>41183</v>
      </c>
      <c r="AL43" s="85">
        <v>9084</v>
      </c>
      <c r="AM43" s="53">
        <f>IF(AL44&lt;&gt;0,AL44-AL38,0)</f>
        <v>1209</v>
      </c>
      <c r="AN43" s="74">
        <f t="shared" si="19"/>
        <v>127</v>
      </c>
      <c r="AO43" s="216"/>
      <c r="AP43" s="216"/>
    </row>
    <row r="44" spans="3:51" x14ac:dyDescent="0.25">
      <c r="C44" s="28">
        <v>41214</v>
      </c>
      <c r="D44" s="28"/>
      <c r="E44" s="85">
        <v>104558</v>
      </c>
      <c r="F44" s="79">
        <f>IF(E45&lt;&gt;0,E45-E38,0)</f>
        <v>1927</v>
      </c>
      <c r="G44" s="80">
        <f t="shared" si="20"/>
        <v>1356</v>
      </c>
      <c r="I44" s="28">
        <f t="shared" si="0"/>
        <v>41214</v>
      </c>
      <c r="J44" s="28"/>
      <c r="K44" s="86">
        <v>48203</v>
      </c>
      <c r="L44" s="53">
        <f>IF(K45&lt;&gt;0,K45-K38,0)</f>
        <v>-188</v>
      </c>
      <c r="M44" s="80">
        <f t="shared" si="21"/>
        <v>122</v>
      </c>
      <c r="O44" s="28">
        <f t="shared" si="1"/>
        <v>41214</v>
      </c>
      <c r="P44" s="284"/>
      <c r="Q44" s="85">
        <v>28478</v>
      </c>
      <c r="R44" s="53">
        <f>IF(Q45&lt;&gt;0,Q45-Q38,0)</f>
        <v>1389</v>
      </c>
      <c r="S44" s="80">
        <f t="shared" si="22"/>
        <v>466</v>
      </c>
      <c r="V44" s="28">
        <f t="shared" si="2"/>
        <v>41214</v>
      </c>
      <c r="W44" s="86">
        <v>9211</v>
      </c>
      <c r="X44" s="53">
        <f>IF(W45&lt;&gt;0,W45-W38,0)</f>
        <v>360</v>
      </c>
      <c r="Y44" s="74">
        <f t="shared" si="23"/>
        <v>72</v>
      </c>
      <c r="AA44" s="34">
        <f t="shared" si="3"/>
        <v>41214</v>
      </c>
      <c r="AB44" s="85">
        <v>24849</v>
      </c>
      <c r="AC44" s="53">
        <f>IF(AB45&lt;&gt;0,AB45-AB38,0)</f>
        <v>989</v>
      </c>
      <c r="AD44" s="74">
        <f t="shared" si="24"/>
        <v>497</v>
      </c>
      <c r="AF44" s="34">
        <f t="shared" si="4"/>
        <v>41214</v>
      </c>
      <c r="AG44" s="85">
        <v>43437</v>
      </c>
      <c r="AH44" s="53">
        <f>IF(AG45&lt;&gt;0,AG45-AG38,0)</f>
        <v>37</v>
      </c>
      <c r="AI44" s="74">
        <f t="shared" si="25"/>
        <v>7</v>
      </c>
      <c r="AK44" s="28">
        <f t="shared" si="5"/>
        <v>41214</v>
      </c>
      <c r="AL44" s="85">
        <v>9211</v>
      </c>
      <c r="AM44" s="53">
        <f>IF(AL45&lt;&gt;0,AL45-AL38,0)</f>
        <v>1372</v>
      </c>
      <c r="AN44" s="74">
        <f t="shared" si="19"/>
        <v>163</v>
      </c>
      <c r="AO44" s="216"/>
      <c r="AP44" s="216"/>
    </row>
    <row r="45" spans="3:51" x14ac:dyDescent="0.25">
      <c r="C45" s="28">
        <v>41244</v>
      </c>
      <c r="D45" s="28"/>
      <c r="E45" s="85">
        <v>105914</v>
      </c>
      <c r="F45" s="79">
        <f>IF(E46&lt;&gt;0,E46-E38,0)</f>
        <v>3986</v>
      </c>
      <c r="G45" s="80">
        <f t="shared" si="20"/>
        <v>2059</v>
      </c>
      <c r="I45" s="28">
        <f t="shared" si="0"/>
        <v>41244</v>
      </c>
      <c r="J45" s="28"/>
      <c r="K45" s="86">
        <v>48325</v>
      </c>
      <c r="L45" s="53">
        <f>IF(K46&lt;&gt;0,K46-K38,0)</f>
        <v>-20</v>
      </c>
      <c r="M45" s="80">
        <f t="shared" si="21"/>
        <v>168</v>
      </c>
      <c r="O45" s="28">
        <f t="shared" si="1"/>
        <v>41244</v>
      </c>
      <c r="P45" s="284"/>
      <c r="Q45" s="85">
        <v>28944</v>
      </c>
      <c r="R45" s="53">
        <f>IF(Q46&lt;&gt;0,Q46-Q38,0)</f>
        <v>2004</v>
      </c>
      <c r="S45" s="80">
        <f t="shared" si="22"/>
        <v>615</v>
      </c>
      <c r="V45" s="28">
        <f t="shared" si="2"/>
        <v>41244</v>
      </c>
      <c r="W45" s="86">
        <v>9283</v>
      </c>
      <c r="X45" s="53">
        <f>IF(W46&lt;&gt;0,W46-W38,0)</f>
        <v>478</v>
      </c>
      <c r="Y45" s="74">
        <f t="shared" si="23"/>
        <v>118</v>
      </c>
      <c r="AA45" s="34">
        <f t="shared" si="3"/>
        <v>41244</v>
      </c>
      <c r="AB45" s="85">
        <v>25346</v>
      </c>
      <c r="AC45" s="53">
        <f>IF(AB46&lt;&gt;0,AB46-AB38,0)</f>
        <v>1770</v>
      </c>
      <c r="AD45" s="74">
        <f t="shared" si="24"/>
        <v>781</v>
      </c>
      <c r="AF45" s="34">
        <f t="shared" si="4"/>
        <v>41244</v>
      </c>
      <c r="AG45" s="85">
        <v>43444</v>
      </c>
      <c r="AH45" s="53">
        <f>IF(AG46&lt;&gt;0,AG46-AG38,0)</f>
        <v>236</v>
      </c>
      <c r="AI45" s="74">
        <f t="shared" si="25"/>
        <v>199</v>
      </c>
      <c r="AK45" s="28">
        <f t="shared" si="5"/>
        <v>41244</v>
      </c>
      <c r="AL45" s="85">
        <v>9374</v>
      </c>
      <c r="AM45" s="53">
        <f>IF(AL46&lt;&gt;0,AL46-AL38,0)</f>
        <v>1399</v>
      </c>
      <c r="AN45" s="74">
        <f t="shared" si="19"/>
        <v>27</v>
      </c>
      <c r="AO45" s="216"/>
      <c r="AP45" s="216"/>
    </row>
    <row r="46" spans="3:51" x14ac:dyDescent="0.25">
      <c r="C46" s="28">
        <v>41275</v>
      </c>
      <c r="D46" s="28"/>
      <c r="E46" s="85">
        <v>107973</v>
      </c>
      <c r="F46" s="79">
        <f>IF(E47&lt;&gt;0,E47-E38,0)</f>
        <v>6630</v>
      </c>
      <c r="G46" s="80">
        <f t="shared" si="20"/>
        <v>2644</v>
      </c>
      <c r="I46" s="28">
        <f t="shared" si="0"/>
        <v>41275</v>
      </c>
      <c r="J46" s="28"/>
      <c r="K46" s="86">
        <v>48493</v>
      </c>
      <c r="L46" s="53">
        <f>IF(K47&lt;&gt;0,K47-K38,0)</f>
        <v>90</v>
      </c>
      <c r="M46" s="80">
        <f t="shared" si="21"/>
        <v>110</v>
      </c>
      <c r="O46" s="28">
        <f t="shared" si="1"/>
        <v>41275</v>
      </c>
      <c r="P46" s="284"/>
      <c r="Q46" s="85">
        <v>29559</v>
      </c>
      <c r="R46" s="53">
        <f>IF(Q47&lt;&gt;0,Q47-Q38,0)</f>
        <v>2596</v>
      </c>
      <c r="S46" s="80">
        <f t="shared" si="22"/>
        <v>592</v>
      </c>
      <c r="V46" s="28">
        <f t="shared" si="2"/>
        <v>41275</v>
      </c>
      <c r="W46" s="86">
        <v>9401</v>
      </c>
      <c r="X46" s="53">
        <f>IF(W47&lt;&gt;0,W47-W38,0)</f>
        <v>653</v>
      </c>
      <c r="Y46" s="74">
        <f t="shared" si="23"/>
        <v>175</v>
      </c>
      <c r="AA46" s="34">
        <f t="shared" si="3"/>
        <v>41275</v>
      </c>
      <c r="AB46" s="85">
        <v>26127</v>
      </c>
      <c r="AC46" s="53">
        <f>IF(AB47&lt;&gt;0,AB47-AB38,0)</f>
        <v>2634</v>
      </c>
      <c r="AD46" s="74">
        <f t="shared" si="24"/>
        <v>864</v>
      </c>
      <c r="AF46" s="34">
        <f t="shared" si="4"/>
        <v>41275</v>
      </c>
      <c r="AG46" s="85">
        <v>43643</v>
      </c>
      <c r="AH46" s="53">
        <f>IF(AG47&lt;&gt;0,AG47-AG38,0)</f>
        <v>526</v>
      </c>
      <c r="AI46" s="74">
        <f t="shared" si="25"/>
        <v>290</v>
      </c>
      <c r="AK46" s="28">
        <f t="shared" si="5"/>
        <v>41275</v>
      </c>
      <c r="AL46" s="87">
        <v>9401</v>
      </c>
      <c r="AM46" s="53">
        <f>IF(AL47&lt;&gt;0,AL47-AL38,0)</f>
        <v>1465</v>
      </c>
      <c r="AN46" s="74">
        <f t="shared" si="19"/>
        <v>66</v>
      </c>
      <c r="AO46" s="216"/>
      <c r="AP46" s="216"/>
      <c r="AW46" s="178">
        <v>23</v>
      </c>
      <c r="AX46" s="190"/>
      <c r="AY46" s="179">
        <f>AW46*65</f>
        <v>1495</v>
      </c>
    </row>
    <row r="47" spans="3:51" x14ac:dyDescent="0.25">
      <c r="C47" s="28">
        <v>41306</v>
      </c>
      <c r="D47" s="28"/>
      <c r="E47" s="85">
        <v>110617</v>
      </c>
      <c r="F47" s="79">
        <f>IF(E48&lt;&gt;0,E48-E38,0)</f>
        <v>9102</v>
      </c>
      <c r="G47" s="80">
        <f t="shared" si="20"/>
        <v>2472</v>
      </c>
      <c r="I47" s="28">
        <f t="shared" si="0"/>
        <v>41306</v>
      </c>
      <c r="J47" s="28"/>
      <c r="K47" s="86">
        <v>48603</v>
      </c>
      <c r="L47" s="53">
        <f>IF(K48&lt;&gt;0,K48-K38,0)</f>
        <v>148</v>
      </c>
      <c r="M47" s="80">
        <f t="shared" si="21"/>
        <v>58</v>
      </c>
      <c r="O47" s="28">
        <f t="shared" si="1"/>
        <v>41306</v>
      </c>
      <c r="P47" s="284"/>
      <c r="Q47" s="85">
        <v>30151</v>
      </c>
      <c r="R47" s="53">
        <f>IF(Q48&lt;&gt;0,Q48-Q38,0)</f>
        <v>3167</v>
      </c>
      <c r="S47" s="80">
        <f t="shared" si="22"/>
        <v>571</v>
      </c>
      <c r="V47" s="28">
        <f t="shared" si="2"/>
        <v>41306</v>
      </c>
      <c r="W47" s="86">
        <v>9576</v>
      </c>
      <c r="X47" s="53">
        <f>IF(W48&lt;&gt;0,W48-W38,0)</f>
        <v>807</v>
      </c>
      <c r="Y47" s="74">
        <f t="shared" si="23"/>
        <v>154</v>
      </c>
      <c r="AA47" s="34">
        <f t="shared" si="3"/>
        <v>41306</v>
      </c>
      <c r="AB47" s="85">
        <v>26991</v>
      </c>
      <c r="AC47" s="53">
        <f>IF(AB48&lt;&gt;0,AB48-AB38,0)</f>
        <v>3430</v>
      </c>
      <c r="AD47" s="74">
        <f t="shared" si="24"/>
        <v>796</v>
      </c>
      <c r="AF47" s="34">
        <f t="shared" si="4"/>
        <v>41306</v>
      </c>
      <c r="AG47" s="85">
        <v>43933</v>
      </c>
      <c r="AH47" s="53">
        <f>IF(AG48&lt;&gt;0,AG48-AG38,0)</f>
        <v>783</v>
      </c>
      <c r="AI47" s="74">
        <f t="shared" si="25"/>
        <v>257</v>
      </c>
      <c r="AK47" s="28">
        <f t="shared" si="5"/>
        <v>41306</v>
      </c>
      <c r="AL47" s="85">
        <v>9467</v>
      </c>
      <c r="AM47" s="53">
        <f>IF(AL48&lt;&gt;0,AL48-AL38,0)</f>
        <v>1592</v>
      </c>
      <c r="AN47" s="74">
        <f t="shared" si="19"/>
        <v>127</v>
      </c>
      <c r="AO47" s="216"/>
      <c r="AP47" s="216"/>
    </row>
    <row r="48" spans="3:51" x14ac:dyDescent="0.25">
      <c r="C48" s="28">
        <v>41334</v>
      </c>
      <c r="D48" s="28"/>
      <c r="E48" s="85">
        <v>113089</v>
      </c>
      <c r="F48" s="79">
        <f>IF(E49&lt;&gt;0,E49-E38,0)</f>
        <v>11169</v>
      </c>
      <c r="G48" s="80">
        <f t="shared" si="20"/>
        <v>2067</v>
      </c>
      <c r="I48" s="28">
        <f t="shared" si="0"/>
        <v>41334</v>
      </c>
      <c r="J48" s="28"/>
      <c r="K48" s="86">
        <v>48661</v>
      </c>
      <c r="L48" s="53">
        <f>IF(K49&lt;&gt;0,K49-K38,0)</f>
        <v>157</v>
      </c>
      <c r="M48" s="80">
        <f t="shared" si="21"/>
        <v>9</v>
      </c>
      <c r="O48" s="28">
        <f t="shared" si="1"/>
        <v>41334</v>
      </c>
      <c r="P48" s="284"/>
      <c r="Q48" s="85">
        <v>30722</v>
      </c>
      <c r="R48" s="53">
        <f>IF(Q49&lt;&gt;0,Q49-Q38,0)</f>
        <v>3726</v>
      </c>
      <c r="S48" s="80">
        <f t="shared" si="22"/>
        <v>559</v>
      </c>
      <c r="V48" s="28">
        <f t="shared" si="2"/>
        <v>41334</v>
      </c>
      <c r="W48" s="86">
        <v>9730</v>
      </c>
      <c r="X48" s="53">
        <f>IF(W49&lt;&gt;0,W49-W38,0)</f>
        <v>918</v>
      </c>
      <c r="Y48" s="74">
        <f t="shared" si="23"/>
        <v>111</v>
      </c>
      <c r="AA48" s="34">
        <f t="shared" si="3"/>
        <v>41334</v>
      </c>
      <c r="AB48" s="85">
        <v>27787</v>
      </c>
      <c r="AC48" s="53">
        <f>IF(AB49&lt;&gt;0,AB49-AB38,0)</f>
        <v>3993</v>
      </c>
      <c r="AD48" s="74">
        <f t="shared" si="24"/>
        <v>563</v>
      </c>
      <c r="AF48" s="34">
        <f t="shared" si="4"/>
        <v>41334</v>
      </c>
      <c r="AG48" s="85">
        <v>44190</v>
      </c>
      <c r="AH48" s="53">
        <f>IF(AG49&lt;&gt;0,AG49-AG38,0)</f>
        <v>896</v>
      </c>
      <c r="AI48" s="74">
        <f t="shared" si="25"/>
        <v>113</v>
      </c>
      <c r="AK48" s="28">
        <f t="shared" si="5"/>
        <v>41334</v>
      </c>
      <c r="AL48" s="85">
        <v>9594</v>
      </c>
      <c r="AM48" s="53">
        <f>IF(AL49&lt;&gt;0,AL49-AL38,0)</f>
        <v>1793</v>
      </c>
      <c r="AN48" s="74">
        <f t="shared" si="19"/>
        <v>201</v>
      </c>
      <c r="AO48" s="216"/>
      <c r="AP48" s="216"/>
    </row>
    <row r="49" spans="3:51" x14ac:dyDescent="0.25">
      <c r="C49" s="28">
        <v>41365</v>
      </c>
      <c r="D49" s="28"/>
      <c r="E49" s="85">
        <v>115156</v>
      </c>
      <c r="F49" s="79">
        <f>IF(E50&lt;&gt;0,E50-E38,0)</f>
        <v>12058</v>
      </c>
      <c r="G49" s="80">
        <f t="shared" si="20"/>
        <v>889</v>
      </c>
      <c r="I49" s="28">
        <f t="shared" si="0"/>
        <v>41365</v>
      </c>
      <c r="J49" s="28"/>
      <c r="K49" s="86">
        <v>48670</v>
      </c>
      <c r="L49" s="53">
        <f>IF(K50&lt;&gt;0,K50-K38,0)</f>
        <v>44</v>
      </c>
      <c r="M49" s="80">
        <f t="shared" si="21"/>
        <v>-113</v>
      </c>
      <c r="O49" s="28">
        <f t="shared" si="1"/>
        <v>41365</v>
      </c>
      <c r="P49" s="284"/>
      <c r="Q49" s="85">
        <v>31281</v>
      </c>
      <c r="R49" s="53">
        <f>IF(Q50&lt;&gt;0,Q50-Q38,0)</f>
        <v>4162</v>
      </c>
      <c r="S49" s="80">
        <f t="shared" si="22"/>
        <v>436</v>
      </c>
      <c r="V49" s="28">
        <f t="shared" si="2"/>
        <v>41365</v>
      </c>
      <c r="W49" s="86">
        <v>9841</v>
      </c>
      <c r="X49" s="53">
        <f>IF(W50&lt;&gt;0,W50-W38,0)</f>
        <v>1009</v>
      </c>
      <c r="Y49" s="74">
        <f t="shared" si="23"/>
        <v>91</v>
      </c>
      <c r="AA49" s="34">
        <f t="shared" si="3"/>
        <v>41365</v>
      </c>
      <c r="AB49" s="85">
        <v>28350</v>
      </c>
      <c r="AC49" s="53">
        <f>IF(AB50&lt;&gt;0,AB50-AB38,0)</f>
        <v>4279</v>
      </c>
      <c r="AD49" s="74">
        <f t="shared" si="24"/>
        <v>286</v>
      </c>
      <c r="AF49" s="34">
        <f t="shared" si="4"/>
        <v>41365</v>
      </c>
      <c r="AG49" s="85">
        <v>44303</v>
      </c>
      <c r="AH49" s="53">
        <f>IF(AG50&lt;&gt;0,AG50-AG38,0)</f>
        <v>917</v>
      </c>
      <c r="AI49" s="74">
        <f t="shared" si="25"/>
        <v>21</v>
      </c>
      <c r="AK49" s="28">
        <f t="shared" si="5"/>
        <v>41365</v>
      </c>
      <c r="AL49" s="85">
        <v>9795</v>
      </c>
      <c r="AM49" s="53">
        <f>IF(AL50&lt;&gt;0,AL50-AL38,0)</f>
        <v>2164</v>
      </c>
      <c r="AN49" s="74">
        <f t="shared" si="19"/>
        <v>371</v>
      </c>
      <c r="AO49" s="216"/>
      <c r="AP49" s="216"/>
    </row>
    <row r="50" spans="3:51" x14ac:dyDescent="0.25">
      <c r="C50" s="28">
        <v>41395</v>
      </c>
      <c r="D50" s="28"/>
      <c r="E50" s="85">
        <v>116045</v>
      </c>
      <c r="F50" s="79">
        <f>IF(E51&lt;&gt;0,E51-E38,0)</f>
        <v>12188</v>
      </c>
      <c r="G50" s="80">
        <f t="shared" si="20"/>
        <v>130</v>
      </c>
      <c r="I50" s="28">
        <f t="shared" si="0"/>
        <v>41395</v>
      </c>
      <c r="J50" s="28"/>
      <c r="K50" s="86">
        <v>48557</v>
      </c>
      <c r="L50" s="53">
        <f>IF(K51&lt;&gt;0,K51-K38,0)</f>
        <v>-4</v>
      </c>
      <c r="M50" s="80">
        <f t="shared" si="21"/>
        <v>-48</v>
      </c>
      <c r="O50" s="28">
        <f t="shared" si="1"/>
        <v>41395</v>
      </c>
      <c r="P50" s="284"/>
      <c r="Q50" s="85">
        <v>31717</v>
      </c>
      <c r="R50" s="53">
        <f>IF(Q51&lt;&gt;0,Q51-Q38,0)</f>
        <v>4428</v>
      </c>
      <c r="S50" s="80">
        <f t="shared" si="22"/>
        <v>266</v>
      </c>
      <c r="V50" s="28">
        <f t="shared" si="2"/>
        <v>41395</v>
      </c>
      <c r="W50" s="86">
        <v>9932</v>
      </c>
      <c r="X50" s="53">
        <f>IF(W51&lt;&gt;0,W51-W38,0)</f>
        <v>1114</v>
      </c>
      <c r="Y50" s="74">
        <f t="shared" si="23"/>
        <v>105</v>
      </c>
      <c r="AA50" s="34">
        <f t="shared" si="3"/>
        <v>41395</v>
      </c>
      <c r="AB50" s="85">
        <v>28636</v>
      </c>
      <c r="AC50" s="53">
        <f>IF(AB51&lt;&gt;0,AB51-AB38,0)</f>
        <v>4427</v>
      </c>
      <c r="AD50" s="74">
        <f t="shared" si="24"/>
        <v>148</v>
      </c>
      <c r="AF50" s="34">
        <f t="shared" si="4"/>
        <v>41395</v>
      </c>
      <c r="AG50" s="85">
        <v>44324</v>
      </c>
      <c r="AH50" s="53">
        <f>IF(AG51&lt;&gt;0,AG51-AG38,0)</f>
        <v>918</v>
      </c>
      <c r="AI50" s="74">
        <f t="shared" si="25"/>
        <v>1</v>
      </c>
      <c r="AK50" s="28">
        <f t="shared" si="5"/>
        <v>41395</v>
      </c>
      <c r="AL50" s="85">
        <v>10166</v>
      </c>
      <c r="AM50" s="53">
        <f>IF(AL51&lt;&gt;0,AL51-AL38,0)</f>
        <v>2525</v>
      </c>
      <c r="AN50" s="74">
        <f t="shared" si="19"/>
        <v>361</v>
      </c>
      <c r="AO50" s="216"/>
      <c r="AP50" s="216"/>
    </row>
    <row r="51" spans="3:51" x14ac:dyDescent="0.25">
      <c r="C51" s="28">
        <v>41426</v>
      </c>
      <c r="D51" s="28"/>
      <c r="E51" s="85">
        <v>116175</v>
      </c>
      <c r="F51" s="79">
        <f>IF(E52&lt;&gt;0,E52-E38,0)</f>
        <v>12188</v>
      </c>
      <c r="G51" s="80">
        <f t="shared" si="20"/>
        <v>0</v>
      </c>
      <c r="I51" s="28">
        <f t="shared" si="0"/>
        <v>41426</v>
      </c>
      <c r="J51" s="28"/>
      <c r="K51" s="86">
        <v>48509</v>
      </c>
      <c r="L51" s="53">
        <f>IF(K52&lt;&gt;0,K52-K38,0)</f>
        <v>-26</v>
      </c>
      <c r="M51" s="80">
        <f t="shared" si="21"/>
        <v>-22</v>
      </c>
      <c r="O51" s="28">
        <f t="shared" si="1"/>
        <v>41426</v>
      </c>
      <c r="P51" s="284"/>
      <c r="Q51" s="85">
        <v>31983</v>
      </c>
      <c r="R51" s="53">
        <f>IF(Q52&lt;&gt;0,Q52-Q38,0)</f>
        <v>4531</v>
      </c>
      <c r="S51" s="80">
        <f t="shared" si="22"/>
        <v>103</v>
      </c>
      <c r="V51" s="28">
        <f t="shared" si="2"/>
        <v>41426</v>
      </c>
      <c r="W51" s="86">
        <v>10037</v>
      </c>
      <c r="X51" s="53">
        <f>IF(W52&lt;&gt;0,W52-W38,0)</f>
        <v>1201</v>
      </c>
      <c r="Y51" s="74">
        <f t="shared" si="23"/>
        <v>87</v>
      </c>
      <c r="AA51" s="34">
        <f t="shared" si="3"/>
        <v>41426</v>
      </c>
      <c r="AB51" s="85">
        <v>28784</v>
      </c>
      <c r="AC51" s="53">
        <f>IF(AB52&lt;&gt;0,AB52-AB38,0)</f>
        <v>4447</v>
      </c>
      <c r="AD51" s="74">
        <f t="shared" si="24"/>
        <v>20</v>
      </c>
      <c r="AF51" s="34">
        <f t="shared" si="4"/>
        <v>41426</v>
      </c>
      <c r="AG51" s="85">
        <v>44325</v>
      </c>
      <c r="AH51" s="53">
        <f>IF(AG52&lt;&gt;0,AG52-AG38,0)</f>
        <v>919</v>
      </c>
      <c r="AI51" s="74">
        <f t="shared" si="25"/>
        <v>1</v>
      </c>
      <c r="AK51" s="28">
        <f t="shared" si="5"/>
        <v>41426</v>
      </c>
      <c r="AL51" s="85">
        <v>10527</v>
      </c>
      <c r="AM51" s="53">
        <f>IF(AL52&lt;&gt;0,AL52-AL38,0)</f>
        <v>2886</v>
      </c>
      <c r="AN51" s="74">
        <f t="shared" si="19"/>
        <v>361</v>
      </c>
      <c r="AO51" s="216"/>
      <c r="AP51" s="216"/>
    </row>
    <row r="52" spans="3:51" x14ac:dyDescent="0.25">
      <c r="C52" s="28">
        <v>41456</v>
      </c>
      <c r="D52" s="28"/>
      <c r="E52" s="88">
        <v>116175</v>
      </c>
      <c r="F52" s="89"/>
      <c r="G52" s="90"/>
      <c r="I52" s="28">
        <f t="shared" si="0"/>
        <v>41456</v>
      </c>
      <c r="J52" s="28"/>
      <c r="K52" s="91">
        <v>48487</v>
      </c>
      <c r="L52" s="49"/>
      <c r="M52" s="92"/>
      <c r="O52" s="28">
        <f t="shared" si="1"/>
        <v>41456</v>
      </c>
      <c r="P52" s="284"/>
      <c r="Q52" s="88">
        <v>32086</v>
      </c>
      <c r="R52" s="49"/>
      <c r="S52" s="92"/>
      <c r="V52" s="28">
        <f t="shared" si="2"/>
        <v>41456</v>
      </c>
      <c r="W52" s="91">
        <v>10124</v>
      </c>
      <c r="X52" s="49"/>
      <c r="Y52" s="92"/>
      <c r="AA52" s="34">
        <f t="shared" si="3"/>
        <v>41456</v>
      </c>
      <c r="AB52" s="88">
        <v>28804</v>
      </c>
      <c r="AC52" s="49"/>
      <c r="AD52" s="92"/>
      <c r="AF52" s="34">
        <f t="shared" si="4"/>
        <v>41456</v>
      </c>
      <c r="AG52" s="88">
        <v>44326</v>
      </c>
      <c r="AH52" s="49"/>
      <c r="AI52" s="92"/>
      <c r="AK52" s="28">
        <f t="shared" si="5"/>
        <v>41456</v>
      </c>
      <c r="AL52" s="88">
        <v>10888</v>
      </c>
      <c r="AM52" s="49"/>
      <c r="AN52" s="92"/>
      <c r="AO52" s="216"/>
      <c r="AP52" s="216"/>
    </row>
    <row r="53" spans="3:51" x14ac:dyDescent="0.25">
      <c r="C53" s="52" t="s">
        <v>18</v>
      </c>
      <c r="D53" s="52"/>
      <c r="E53" s="54"/>
      <c r="F53" s="54"/>
      <c r="G53" s="54">
        <f>SUM(G38:G52)</f>
        <v>12188</v>
      </c>
      <c r="I53" s="28" t="str">
        <f t="shared" si="0"/>
        <v xml:space="preserve">  </v>
      </c>
      <c r="J53" s="28"/>
      <c r="K53" s="54"/>
      <c r="L53" s="54"/>
      <c r="M53" s="54">
        <f>SUM(M38:M52)</f>
        <v>-26</v>
      </c>
      <c r="O53" s="28" t="str">
        <f t="shared" si="1"/>
        <v xml:space="preserve">  </v>
      </c>
      <c r="P53" s="284"/>
      <c r="Q53" s="54"/>
      <c r="R53" s="54"/>
      <c r="S53" s="54">
        <f>SUM(S38:S52)</f>
        <v>4531</v>
      </c>
      <c r="V53" s="28" t="str">
        <f t="shared" si="2"/>
        <v xml:space="preserve">  </v>
      </c>
      <c r="W53" s="54"/>
      <c r="X53" s="54"/>
      <c r="Y53" s="54">
        <f>SUM(Y38:Y52)</f>
        <v>1201</v>
      </c>
      <c r="AA53" s="34" t="str">
        <f t="shared" si="3"/>
        <v xml:space="preserve">  </v>
      </c>
      <c r="AB53" s="54"/>
      <c r="AC53" s="54"/>
      <c r="AD53" s="54">
        <f>SUM(AD38:AD52)</f>
        <v>4447</v>
      </c>
      <c r="AF53" s="34" t="str">
        <f t="shared" si="4"/>
        <v xml:space="preserve">  </v>
      </c>
      <c r="AG53" s="102"/>
      <c r="AH53" s="102"/>
      <c r="AI53" s="54">
        <f>SUM(AI38:AI52)</f>
        <v>919</v>
      </c>
      <c r="AK53" s="28" t="str">
        <f t="shared" si="5"/>
        <v xml:space="preserve">  </v>
      </c>
      <c r="AL53" s="54"/>
      <c r="AM53" s="54"/>
      <c r="AN53" s="54">
        <f>SUM(AN38:AN52)</f>
        <v>2886</v>
      </c>
      <c r="AO53" s="54"/>
      <c r="AP53" s="54"/>
    </row>
    <row r="54" spans="3:51" x14ac:dyDescent="0.25">
      <c r="C54" s="1" t="s">
        <v>18</v>
      </c>
      <c r="E54" s="96" t="s">
        <v>6</v>
      </c>
      <c r="F54" s="97" t="s">
        <v>1</v>
      </c>
      <c r="G54" s="98" t="s">
        <v>2</v>
      </c>
      <c r="I54" s="28" t="str">
        <f t="shared" si="0"/>
        <v xml:space="preserve">  </v>
      </c>
      <c r="J54" s="28"/>
      <c r="K54" s="96" t="s">
        <v>6</v>
      </c>
      <c r="L54" s="97" t="s">
        <v>1</v>
      </c>
      <c r="M54" s="98" t="s">
        <v>2</v>
      </c>
      <c r="O54" s="28" t="str">
        <f t="shared" si="1"/>
        <v xml:space="preserve">  </v>
      </c>
      <c r="P54" s="284"/>
      <c r="Q54" s="63" t="s">
        <v>6</v>
      </c>
      <c r="R54" s="64" t="s">
        <v>1</v>
      </c>
      <c r="S54" s="65" t="s">
        <v>2</v>
      </c>
      <c r="V54" s="28" t="str">
        <f t="shared" si="2"/>
        <v xml:space="preserve">  </v>
      </c>
      <c r="W54" s="96" t="s">
        <v>6</v>
      </c>
      <c r="X54" s="97" t="s">
        <v>1</v>
      </c>
      <c r="Y54" s="98" t="s">
        <v>2</v>
      </c>
      <c r="AA54" s="34" t="str">
        <f t="shared" si="3"/>
        <v xml:space="preserve">  </v>
      </c>
      <c r="AB54" s="63" t="s">
        <v>6</v>
      </c>
      <c r="AC54" s="64" t="s">
        <v>1</v>
      </c>
      <c r="AD54" s="65" t="s">
        <v>2</v>
      </c>
      <c r="AF54" s="34" t="str">
        <f t="shared" si="4"/>
        <v xml:space="preserve">  </v>
      </c>
      <c r="AG54" s="99" t="s">
        <v>6</v>
      </c>
      <c r="AH54" s="64" t="s">
        <v>1</v>
      </c>
      <c r="AI54" s="100" t="s">
        <v>2</v>
      </c>
      <c r="AK54" s="28" t="str">
        <f t="shared" si="5"/>
        <v xml:space="preserve">  </v>
      </c>
      <c r="AL54" s="63" t="s">
        <v>6</v>
      </c>
      <c r="AM54" s="64" t="s">
        <v>1</v>
      </c>
      <c r="AN54" s="65" t="s">
        <v>2</v>
      </c>
      <c r="AO54" s="215"/>
      <c r="AP54" s="215"/>
    </row>
    <row r="55" spans="3:51" x14ac:dyDescent="0.25">
      <c r="C55" s="28">
        <v>41456</v>
      </c>
      <c r="D55" s="28"/>
      <c r="E55" s="66">
        <f>E52</f>
        <v>116175</v>
      </c>
      <c r="F55" s="67">
        <f>IF(E58&lt;&gt;0,E58-E55,"")</f>
        <v>0</v>
      </c>
      <c r="G55" s="68">
        <f>IF(E58&lt;&gt;0,E58-E55,0)</f>
        <v>0</v>
      </c>
      <c r="I55" s="28">
        <f t="shared" si="0"/>
        <v>41456</v>
      </c>
      <c r="J55" s="28"/>
      <c r="K55" s="69">
        <f>K52</f>
        <v>48487</v>
      </c>
      <c r="L55" s="70">
        <f>IF(K58&lt;&gt;0,K58-K55,0)</f>
        <v>-71</v>
      </c>
      <c r="M55" s="68">
        <f>IF(K58&lt;&gt;0,K58-K55,0)</f>
        <v>-71</v>
      </c>
      <c r="O55" s="28">
        <f t="shared" si="1"/>
        <v>41456</v>
      </c>
      <c r="P55" s="284"/>
      <c r="Q55" s="71">
        <f>Q52</f>
        <v>32086</v>
      </c>
      <c r="R55" s="70">
        <f>IF(Q58&lt;&gt;0,Q58-Q55,0)</f>
        <v>-98</v>
      </c>
      <c r="S55" s="68">
        <f>IF(Q58&lt;&gt;0,Q58-Q55,0)</f>
        <v>-98</v>
      </c>
      <c r="V55" s="28">
        <f t="shared" si="2"/>
        <v>41456</v>
      </c>
      <c r="W55" s="69">
        <f>W52</f>
        <v>10124</v>
      </c>
      <c r="X55" s="70">
        <f>IF(W58&lt;&gt;0,W58-W55,0)</f>
        <v>57</v>
      </c>
      <c r="Y55" s="72">
        <f>IF(W58&lt;&gt;0,W58-W55,0)</f>
        <v>57</v>
      </c>
      <c r="AA55" s="34">
        <f t="shared" si="3"/>
        <v>41456</v>
      </c>
      <c r="AB55" s="71">
        <f>AB52</f>
        <v>28804</v>
      </c>
      <c r="AC55" s="70">
        <f>IF(AB58&lt;&gt;0,AB58-AB55,0)</f>
        <v>38</v>
      </c>
      <c r="AD55" s="72">
        <f>IF(AB58&lt;&gt;0,AB58-AB55,0)</f>
        <v>38</v>
      </c>
      <c r="AF55" s="34">
        <f t="shared" si="4"/>
        <v>41456</v>
      </c>
      <c r="AG55" s="73">
        <f>AG52</f>
        <v>44326</v>
      </c>
      <c r="AH55" s="70">
        <f>IF(AG58&lt;&gt;0,AG58-AG55,0)</f>
        <v>1</v>
      </c>
      <c r="AI55" s="74">
        <f>IF(AG58&lt;&gt;0,AG58-AG55,"")</f>
        <v>1</v>
      </c>
      <c r="AK55" s="28">
        <f t="shared" si="5"/>
        <v>41456</v>
      </c>
      <c r="AL55" s="75">
        <f>AL52</f>
        <v>10888</v>
      </c>
      <c r="AM55" s="70">
        <f>IF(AL58&lt;&gt;0,AL58-AL55,0)</f>
        <v>536</v>
      </c>
      <c r="AN55" s="72">
        <f>IF(AL58&lt;&gt;0,AL58-AL55,0)</f>
        <v>536</v>
      </c>
      <c r="AO55" s="216"/>
      <c r="AP55" s="216"/>
    </row>
    <row r="56" spans="3:51" ht="15.75" thickBot="1" x14ac:dyDescent="0.3">
      <c r="C56" s="76" t="s">
        <v>21</v>
      </c>
      <c r="D56" s="77">
        <v>41460</v>
      </c>
      <c r="E56" s="78">
        <v>116175</v>
      </c>
      <c r="F56" s="79"/>
      <c r="G56" s="80"/>
      <c r="I56" s="101" t="str">
        <f>C56</f>
        <v>BELPOWER</v>
      </c>
      <c r="J56" s="101"/>
      <c r="K56" s="81">
        <v>48475</v>
      </c>
      <c r="L56" s="53"/>
      <c r="M56" s="80"/>
      <c r="O56" s="101" t="str">
        <f>C56</f>
        <v>BELPOWER</v>
      </c>
      <c r="P56" s="288"/>
      <c r="Q56" s="82">
        <v>31966</v>
      </c>
      <c r="R56" s="53"/>
      <c r="S56" s="80"/>
      <c r="V56" s="101" t="str">
        <f>C56</f>
        <v>BELPOWER</v>
      </c>
      <c r="W56" s="81">
        <v>10163</v>
      </c>
      <c r="X56" s="53"/>
      <c r="Y56" s="74"/>
      <c r="AA56" s="77" t="str">
        <f>C56</f>
        <v>BELPOWER</v>
      </c>
      <c r="AB56" s="82">
        <v>28822</v>
      </c>
      <c r="AC56" s="53"/>
      <c r="AD56" s="74"/>
      <c r="AF56" s="77"/>
      <c r="AG56" s="78">
        <v>44326</v>
      </c>
      <c r="AH56" s="53"/>
      <c r="AI56" s="74"/>
      <c r="AK56" s="28" t="str">
        <f>C56</f>
        <v>BELPOWER</v>
      </c>
      <c r="AL56" s="78"/>
      <c r="AM56" s="53"/>
      <c r="AN56" s="74"/>
      <c r="AO56" s="216"/>
      <c r="AP56" s="216"/>
    </row>
    <row r="57" spans="3:51" ht="15.75" thickBot="1" x14ac:dyDescent="0.3">
      <c r="C57" s="76"/>
      <c r="D57" s="77"/>
      <c r="E57" s="83">
        <f>+E56-E39</f>
        <v>12188</v>
      </c>
      <c r="F57" s="79"/>
      <c r="G57" s="80"/>
      <c r="I57" s="101"/>
      <c r="J57" s="101"/>
      <c r="K57" s="83">
        <f>+K56-K39</f>
        <v>-38</v>
      </c>
      <c r="L57" s="53"/>
      <c r="M57" s="80"/>
      <c r="O57" s="101"/>
      <c r="P57" s="288"/>
      <c r="Q57" s="83">
        <f>+Q56-Q39</f>
        <v>4411</v>
      </c>
      <c r="R57" s="53"/>
      <c r="S57" s="80"/>
      <c r="V57" s="101"/>
      <c r="W57" s="83">
        <f>+W56-W39</f>
        <v>1240</v>
      </c>
      <c r="X57" s="53"/>
      <c r="Y57" s="74"/>
      <c r="AA57" s="77"/>
      <c r="AB57" s="83">
        <f>+AB56-AB39</f>
        <v>4465</v>
      </c>
      <c r="AC57" s="53"/>
      <c r="AD57" s="74"/>
      <c r="AF57" s="77"/>
      <c r="AG57" s="83">
        <f>+AG56-AG39</f>
        <v>919</v>
      </c>
      <c r="AH57" s="53"/>
      <c r="AI57" s="74"/>
      <c r="AK57" s="28"/>
      <c r="AL57" s="78"/>
      <c r="AM57" s="53"/>
      <c r="AN57" s="74"/>
      <c r="AO57" s="216"/>
      <c r="AP57" s="216"/>
    </row>
    <row r="58" spans="3:51" x14ac:dyDescent="0.25">
      <c r="C58" s="28">
        <v>41487</v>
      </c>
      <c r="D58" s="28"/>
      <c r="E58" s="85">
        <v>116175</v>
      </c>
      <c r="F58" s="79">
        <f>IF(E59&lt;&gt;0,E59-E55,"")</f>
        <v>0</v>
      </c>
      <c r="G58" s="80">
        <f>IF(E59&lt;&gt;0,E59-E58,0)</f>
        <v>0</v>
      </c>
      <c r="I58" s="28">
        <f t="shared" si="0"/>
        <v>41487</v>
      </c>
      <c r="J58" s="28"/>
      <c r="K58" s="86">
        <v>48416</v>
      </c>
      <c r="L58" s="53">
        <f>IF(K59&lt;&gt;0,K59-K55,0)</f>
        <v>-116</v>
      </c>
      <c r="M58" s="80">
        <f>IF(K59&lt;&gt;0,K59-K58,0)</f>
        <v>-45</v>
      </c>
      <c r="O58" s="28">
        <f t="shared" si="1"/>
        <v>41487</v>
      </c>
      <c r="P58" s="284"/>
      <c r="Q58" s="85">
        <v>31988</v>
      </c>
      <c r="R58" s="53">
        <f>IF(Q59&lt;&gt;0,Q59-Q55,0)</f>
        <v>21</v>
      </c>
      <c r="S58" s="80">
        <f>IF(Q59&lt;&gt;0,Q59-Q58,0)</f>
        <v>119</v>
      </c>
      <c r="V58" s="28">
        <f t="shared" si="2"/>
        <v>41487</v>
      </c>
      <c r="W58" s="86">
        <v>10181</v>
      </c>
      <c r="X58" s="53">
        <f>IF(W59&lt;&gt;0,W59-W55,0)</f>
        <v>130</v>
      </c>
      <c r="Y58" s="74">
        <f>IF(W59&lt;&gt;0,W59-W58,0)</f>
        <v>73</v>
      </c>
      <c r="AA58" s="34">
        <f t="shared" si="3"/>
        <v>41487</v>
      </c>
      <c r="AB58" s="85">
        <v>28842</v>
      </c>
      <c r="AC58" s="53">
        <f>IF(AB59&lt;&gt;0,AB59-AB55,0)</f>
        <v>101</v>
      </c>
      <c r="AD58" s="74">
        <f>IF(AB59&lt;&gt;0,AB59-AB58,0)</f>
        <v>63</v>
      </c>
      <c r="AF58" s="34">
        <f t="shared" si="4"/>
        <v>41487</v>
      </c>
      <c r="AG58" s="85">
        <v>44327</v>
      </c>
      <c r="AH58" s="53">
        <f>IF(AG59&lt;&gt;0,AG59-AG55,0)</f>
        <v>5</v>
      </c>
      <c r="AI58" s="74">
        <f>IF(AG59&lt;&gt;0,AG59-AG58,"")</f>
        <v>4</v>
      </c>
      <c r="AK58" s="28">
        <f t="shared" si="5"/>
        <v>41487</v>
      </c>
      <c r="AL58" s="85">
        <v>11424</v>
      </c>
      <c r="AM58" s="53">
        <f>IF(AL59&lt;&gt;0,AL59-AL55,0)</f>
        <v>927</v>
      </c>
      <c r="AN58" s="74">
        <f t="shared" ref="AN58:AN67" si="26">IF(AL59&lt;&gt;0,AL59-AL58,0)</f>
        <v>391</v>
      </c>
      <c r="AO58" s="216"/>
      <c r="AP58" s="216"/>
    </row>
    <row r="59" spans="3:51" x14ac:dyDescent="0.25">
      <c r="C59" s="28">
        <v>41518</v>
      </c>
      <c r="D59" s="28"/>
      <c r="E59" s="85">
        <v>116175</v>
      </c>
      <c r="F59" s="79">
        <f>IF(E60&lt;&gt;0,E60-E55,"")</f>
        <v>0</v>
      </c>
      <c r="G59" s="80">
        <f t="shared" ref="G59:G67" si="27">IF(E60&lt;&gt;0,E60-E59,0)</f>
        <v>0</v>
      </c>
      <c r="I59" s="28">
        <f t="shared" si="0"/>
        <v>41518</v>
      </c>
      <c r="J59" s="28"/>
      <c r="K59" s="86">
        <v>48371</v>
      </c>
      <c r="L59" s="53">
        <f>IF(K60&lt;&gt;0,K60-K55,0)</f>
        <v>-99</v>
      </c>
      <c r="M59" s="80">
        <f t="shared" ref="M59:M67" si="28">IF(K60&lt;&gt;0,K60-K59,0)</f>
        <v>17</v>
      </c>
      <c r="O59" s="28">
        <f t="shared" si="1"/>
        <v>41518</v>
      </c>
      <c r="P59" s="284"/>
      <c r="Q59" s="85">
        <v>32107</v>
      </c>
      <c r="R59" s="53">
        <f>IF(Q60&lt;&gt;0,Q60-Q55,0)</f>
        <v>182</v>
      </c>
      <c r="S59" s="80">
        <f t="shared" ref="S59:S67" si="29">IF(Q60&lt;&gt;0,Q60-Q59,0)</f>
        <v>161</v>
      </c>
      <c r="V59" s="28">
        <f t="shared" si="2"/>
        <v>41518</v>
      </c>
      <c r="W59" s="86">
        <v>10254</v>
      </c>
      <c r="X59" s="53">
        <f>IF(W60&lt;&gt;0,W60-W55,0)</f>
        <v>191</v>
      </c>
      <c r="Y59" s="74">
        <f t="shared" ref="Y59:Y67" si="30">IF(W60&lt;&gt;0,W60-W59,0)</f>
        <v>61</v>
      </c>
      <c r="AA59" s="34">
        <f t="shared" si="3"/>
        <v>41518</v>
      </c>
      <c r="AB59" s="85">
        <v>28905</v>
      </c>
      <c r="AC59" s="53">
        <f>IF(AB60&lt;&gt;0,AB60-AB55,0)</f>
        <v>147</v>
      </c>
      <c r="AD59" s="74">
        <f t="shared" ref="AD59:AD67" si="31">IF(AB60&lt;&gt;0,AB60-AB59,0)</f>
        <v>46</v>
      </c>
      <c r="AF59" s="34">
        <f t="shared" si="4"/>
        <v>41518</v>
      </c>
      <c r="AG59" s="85">
        <v>44331</v>
      </c>
      <c r="AH59" s="53">
        <f>IF(AG60&lt;&gt;0,AG60-AG55,0)</f>
        <v>7</v>
      </c>
      <c r="AI59" s="74">
        <f t="shared" ref="AI59:AI67" si="32">IF(AG60&lt;&gt;0,AG60-AG59,"")</f>
        <v>2</v>
      </c>
      <c r="AK59" s="28">
        <f t="shared" si="5"/>
        <v>41518</v>
      </c>
      <c r="AL59" s="85">
        <v>11815</v>
      </c>
      <c r="AM59" s="53">
        <f>IF(AL60&lt;&gt;0,AL60-AL55,0)</f>
        <v>1200</v>
      </c>
      <c r="AN59" s="74">
        <f t="shared" si="26"/>
        <v>273</v>
      </c>
      <c r="AO59" s="216"/>
      <c r="AP59" s="216"/>
    </row>
    <row r="60" spans="3:51" x14ac:dyDescent="0.25">
      <c r="C60" s="28">
        <v>41548</v>
      </c>
      <c r="D60" s="28"/>
      <c r="E60" s="85">
        <v>116175</v>
      </c>
      <c r="F60" s="79">
        <f>IF(E61&lt;&gt;0,E61-E55,0)</f>
        <v>218</v>
      </c>
      <c r="G60" s="80">
        <f t="shared" si="27"/>
        <v>218</v>
      </c>
      <c r="I60" s="28">
        <f t="shared" si="0"/>
        <v>41548</v>
      </c>
      <c r="J60" s="28"/>
      <c r="K60" s="86">
        <v>48388</v>
      </c>
      <c r="L60" s="53">
        <f>IF(K61&lt;&gt;0,K61-K55,0)</f>
        <v>-9</v>
      </c>
      <c r="M60" s="80">
        <f t="shared" si="28"/>
        <v>90</v>
      </c>
      <c r="O60" s="28">
        <f t="shared" si="1"/>
        <v>41548</v>
      </c>
      <c r="P60" s="284"/>
      <c r="Q60" s="85">
        <v>32268</v>
      </c>
      <c r="R60" s="53">
        <f>IF(Q61&lt;&gt;0,Q61-Q55,0)</f>
        <v>439</v>
      </c>
      <c r="S60" s="80">
        <f t="shared" si="29"/>
        <v>257</v>
      </c>
      <c r="V60" s="28">
        <f t="shared" si="2"/>
        <v>41548</v>
      </c>
      <c r="W60" s="86">
        <v>10315</v>
      </c>
      <c r="X60" s="53">
        <f>IF(W61&lt;&gt;0,W61-W55,0)</f>
        <v>260</v>
      </c>
      <c r="Y60" s="74">
        <f t="shared" si="30"/>
        <v>69</v>
      </c>
      <c r="AA60" s="34">
        <f t="shared" si="3"/>
        <v>41548</v>
      </c>
      <c r="AB60" s="85">
        <v>28951</v>
      </c>
      <c r="AC60" s="53">
        <f>IF(AB61&lt;&gt;0,AB61-AB55,0)</f>
        <v>286</v>
      </c>
      <c r="AD60" s="74">
        <f t="shared" si="31"/>
        <v>139</v>
      </c>
      <c r="AF60" s="34">
        <f t="shared" si="4"/>
        <v>41548</v>
      </c>
      <c r="AG60" s="85">
        <v>44333</v>
      </c>
      <c r="AH60" s="53">
        <f>IF(AG61&lt;&gt;0,AG61-AG55,0)</f>
        <v>9</v>
      </c>
      <c r="AI60" s="74">
        <f t="shared" si="32"/>
        <v>2</v>
      </c>
      <c r="AK60" s="28">
        <f t="shared" si="5"/>
        <v>41548</v>
      </c>
      <c r="AL60" s="87">
        <v>12088</v>
      </c>
      <c r="AM60" s="53">
        <f>IF(AL61&lt;&gt;0,AL61-AL55,0)</f>
        <v>1395</v>
      </c>
      <c r="AN60" s="74">
        <f t="shared" si="26"/>
        <v>195</v>
      </c>
      <c r="AO60" s="216"/>
      <c r="AP60" s="216"/>
      <c r="AW60" s="178">
        <v>18</v>
      </c>
      <c r="AX60" s="190"/>
      <c r="AY60" s="179">
        <f>AW60*65</f>
        <v>1170</v>
      </c>
    </row>
    <row r="61" spans="3:51" x14ac:dyDescent="0.25">
      <c r="C61" s="28">
        <v>41579</v>
      </c>
      <c r="D61" s="28"/>
      <c r="E61" s="85">
        <v>116393</v>
      </c>
      <c r="F61" s="79">
        <f>IF(E62&lt;&gt;0,E62-E55,0)</f>
        <v>1787</v>
      </c>
      <c r="G61" s="80">
        <f t="shared" si="27"/>
        <v>1569</v>
      </c>
      <c r="I61" s="28">
        <f t="shared" si="0"/>
        <v>41579</v>
      </c>
      <c r="J61" s="28"/>
      <c r="K61" s="86">
        <v>48478</v>
      </c>
      <c r="L61" s="53">
        <f>IF(K62&lt;&gt;0,K62-K55,0)</f>
        <v>160</v>
      </c>
      <c r="M61" s="80">
        <f t="shared" si="28"/>
        <v>169</v>
      </c>
      <c r="O61" s="28">
        <f t="shared" si="1"/>
        <v>41579</v>
      </c>
      <c r="P61" s="284"/>
      <c r="Q61" s="85">
        <v>32525</v>
      </c>
      <c r="R61" s="53">
        <f>IF(Q62&lt;&gt;0,Q62-Q55,0)</f>
        <v>1027</v>
      </c>
      <c r="S61" s="80">
        <f t="shared" si="29"/>
        <v>588</v>
      </c>
      <c r="V61" s="28">
        <f t="shared" si="2"/>
        <v>41579</v>
      </c>
      <c r="W61" s="86">
        <v>10384</v>
      </c>
      <c r="X61" s="53">
        <f>IF(W62&lt;&gt;0,W62-W55,0)</f>
        <v>334</v>
      </c>
      <c r="Y61" s="74">
        <f t="shared" si="30"/>
        <v>74</v>
      </c>
      <c r="AA61" s="34">
        <f t="shared" si="3"/>
        <v>41579</v>
      </c>
      <c r="AB61" s="85">
        <v>29090</v>
      </c>
      <c r="AC61" s="53">
        <f>IF(AB62&lt;&gt;0,AB62-AB55,0)</f>
        <v>695</v>
      </c>
      <c r="AD61" s="74">
        <f t="shared" si="31"/>
        <v>409</v>
      </c>
      <c r="AF61" s="34">
        <f t="shared" si="4"/>
        <v>41579</v>
      </c>
      <c r="AG61" s="85">
        <v>44335</v>
      </c>
      <c r="AH61" s="53">
        <f>IF(AG62&lt;&gt;0,AG62-AG55,0)</f>
        <v>30</v>
      </c>
      <c r="AI61" s="74">
        <f t="shared" si="32"/>
        <v>21</v>
      </c>
      <c r="AK61" s="28">
        <f t="shared" si="5"/>
        <v>41579</v>
      </c>
      <c r="AL61" s="85">
        <v>12283</v>
      </c>
      <c r="AM61" s="53">
        <f>IF(AL62&lt;&gt;0,AL62-AL55,0)</f>
        <v>1462</v>
      </c>
      <c r="AN61" s="74">
        <f t="shared" si="26"/>
        <v>67</v>
      </c>
      <c r="AO61" s="216"/>
      <c r="AP61" s="216"/>
    </row>
    <row r="62" spans="3:51" x14ac:dyDescent="0.25">
      <c r="C62" s="28">
        <v>41609</v>
      </c>
      <c r="D62" s="28"/>
      <c r="E62" s="85">
        <v>117962</v>
      </c>
      <c r="F62" s="79">
        <f>IF(E63&lt;&gt;0,E63-E55,0)</f>
        <v>3927</v>
      </c>
      <c r="G62" s="80">
        <f t="shared" si="27"/>
        <v>2140</v>
      </c>
      <c r="I62" s="28">
        <f t="shared" si="0"/>
        <v>41609</v>
      </c>
      <c r="J62" s="28"/>
      <c r="K62" s="86">
        <v>48647</v>
      </c>
      <c r="L62" s="53">
        <f>IF(K63&lt;&gt;0,K63-K55,0)</f>
        <v>292</v>
      </c>
      <c r="M62" s="80">
        <f t="shared" si="28"/>
        <v>132</v>
      </c>
      <c r="O62" s="28">
        <f t="shared" si="1"/>
        <v>41609</v>
      </c>
      <c r="P62" s="284"/>
      <c r="Q62" s="85">
        <v>33113</v>
      </c>
      <c r="R62" s="53">
        <f>IF(Q63&lt;&gt;0,Q63-Q55,0)</f>
        <v>1612</v>
      </c>
      <c r="S62" s="80">
        <f t="shared" si="29"/>
        <v>585</v>
      </c>
      <c r="V62" s="28">
        <f t="shared" si="2"/>
        <v>41609</v>
      </c>
      <c r="W62" s="86">
        <v>10458</v>
      </c>
      <c r="X62" s="53">
        <f>IF(W63&lt;&gt;0,W63-W55,0)</f>
        <v>425</v>
      </c>
      <c r="Y62" s="74">
        <f t="shared" si="30"/>
        <v>91</v>
      </c>
      <c r="AA62" s="34">
        <f t="shared" si="3"/>
        <v>41609</v>
      </c>
      <c r="AB62" s="85">
        <v>29499</v>
      </c>
      <c r="AC62" s="53">
        <f>IF(AB63&lt;&gt;0,AB63-AB55,0)</f>
        <v>1306</v>
      </c>
      <c r="AD62" s="74">
        <f t="shared" si="31"/>
        <v>611</v>
      </c>
      <c r="AF62" s="34">
        <f t="shared" si="4"/>
        <v>41609</v>
      </c>
      <c r="AG62" s="85">
        <v>44356</v>
      </c>
      <c r="AH62" s="53">
        <f>IF(AG63&lt;&gt;0,AG63-AG55,0)</f>
        <v>107</v>
      </c>
      <c r="AI62" s="74">
        <f t="shared" si="32"/>
        <v>77</v>
      </c>
      <c r="AK62" s="28">
        <f t="shared" si="5"/>
        <v>41609</v>
      </c>
      <c r="AL62" s="85">
        <v>12350</v>
      </c>
      <c r="AM62" s="53">
        <f>IF(AL63&lt;&gt;0,AL63-AL55,0)</f>
        <v>1612</v>
      </c>
      <c r="AN62" s="74">
        <f t="shared" si="26"/>
        <v>150</v>
      </c>
      <c r="AO62" s="216"/>
      <c r="AP62" s="216"/>
    </row>
    <row r="63" spans="3:51" x14ac:dyDescent="0.25">
      <c r="C63" s="28">
        <v>41640</v>
      </c>
      <c r="D63" s="28"/>
      <c r="E63" s="85">
        <v>120102</v>
      </c>
      <c r="F63" s="79">
        <f>IF(E64&lt;&gt;0,E64-E55,0)</f>
        <v>5872</v>
      </c>
      <c r="G63" s="80">
        <f t="shared" si="27"/>
        <v>1945</v>
      </c>
      <c r="I63" s="28">
        <f t="shared" si="0"/>
        <v>41640</v>
      </c>
      <c r="J63" s="28"/>
      <c r="K63" s="86">
        <v>48779</v>
      </c>
      <c r="L63" s="53">
        <f>IF(K64&lt;&gt;0,K64-K55,0)</f>
        <v>412</v>
      </c>
      <c r="M63" s="80">
        <f t="shared" si="28"/>
        <v>120</v>
      </c>
      <c r="O63" s="28">
        <f t="shared" si="1"/>
        <v>41640</v>
      </c>
      <c r="P63" s="284"/>
      <c r="Q63" s="85">
        <v>33698</v>
      </c>
      <c r="R63" s="53">
        <f>IF(Q64&lt;&gt;0,Q64-Q55,0)</f>
        <v>2197</v>
      </c>
      <c r="S63" s="80">
        <f t="shared" si="29"/>
        <v>585</v>
      </c>
      <c r="V63" s="28">
        <f t="shared" si="2"/>
        <v>41640</v>
      </c>
      <c r="W63" s="86">
        <v>10549</v>
      </c>
      <c r="X63" s="53">
        <f>IF(W64&lt;&gt;0,W64-W55,0)</f>
        <v>537</v>
      </c>
      <c r="Y63" s="74">
        <f t="shared" si="30"/>
        <v>112</v>
      </c>
      <c r="AA63" s="34">
        <f t="shared" si="3"/>
        <v>41640</v>
      </c>
      <c r="AB63" s="85">
        <v>30110</v>
      </c>
      <c r="AC63" s="53">
        <f>IF(AB64&lt;&gt;0,AB64-AB55,0)</f>
        <v>1905</v>
      </c>
      <c r="AD63" s="74">
        <f t="shared" si="31"/>
        <v>599</v>
      </c>
      <c r="AF63" s="34">
        <f t="shared" si="4"/>
        <v>41640</v>
      </c>
      <c r="AG63" s="85">
        <v>44433</v>
      </c>
      <c r="AH63" s="53">
        <f>IF(AG64&lt;&gt;0,AG64-AG55,0)</f>
        <v>171</v>
      </c>
      <c r="AI63" s="74">
        <f t="shared" si="32"/>
        <v>64</v>
      </c>
      <c r="AK63" s="28">
        <f t="shared" si="5"/>
        <v>41640</v>
      </c>
      <c r="AL63" s="85">
        <v>12500</v>
      </c>
      <c r="AM63" s="53">
        <f>IF(AL64&lt;&gt;0,AL64-AL55,0)</f>
        <v>1712</v>
      </c>
      <c r="AN63" s="74">
        <f t="shared" si="26"/>
        <v>100</v>
      </c>
      <c r="AO63" s="216"/>
      <c r="AP63" s="216"/>
    </row>
    <row r="64" spans="3:51" x14ac:dyDescent="0.25">
      <c r="C64" s="28">
        <v>41671</v>
      </c>
      <c r="D64" s="28"/>
      <c r="E64" s="85">
        <v>122047</v>
      </c>
      <c r="F64" s="79">
        <f>IF(E65&lt;&gt;0,E65-E55,0)</f>
        <v>7453</v>
      </c>
      <c r="G64" s="80">
        <f t="shared" si="27"/>
        <v>1581</v>
      </c>
      <c r="I64" s="28">
        <f t="shared" si="0"/>
        <v>41671</v>
      </c>
      <c r="J64" s="28"/>
      <c r="K64" s="86">
        <v>48899</v>
      </c>
      <c r="L64" s="53">
        <f>IF(K65&lt;&gt;0,K65-K55,0)</f>
        <v>489</v>
      </c>
      <c r="M64" s="80">
        <f t="shared" si="28"/>
        <v>77</v>
      </c>
      <c r="O64" s="28">
        <f t="shared" si="1"/>
        <v>41671</v>
      </c>
      <c r="P64" s="284"/>
      <c r="Q64" s="85">
        <v>34283</v>
      </c>
      <c r="R64" s="53">
        <f>IF(Q65&lt;&gt;0,Q65-Q55,0)</f>
        <v>2723</v>
      </c>
      <c r="S64" s="80">
        <f t="shared" si="29"/>
        <v>526</v>
      </c>
      <c r="V64" s="28">
        <f t="shared" si="2"/>
        <v>41671</v>
      </c>
      <c r="W64" s="86">
        <v>10661</v>
      </c>
      <c r="X64" s="53">
        <f>IF(W65&lt;&gt;0,W65-W55,0)</f>
        <v>611</v>
      </c>
      <c r="Y64" s="74">
        <f t="shared" si="30"/>
        <v>74</v>
      </c>
      <c r="AA64" s="34">
        <f t="shared" si="3"/>
        <v>41671</v>
      </c>
      <c r="AB64" s="85">
        <v>30709</v>
      </c>
      <c r="AC64" s="53">
        <f>IF(AB65&lt;&gt;0,AB65-AB55,0)</f>
        <v>2449</v>
      </c>
      <c r="AD64" s="74">
        <f t="shared" si="31"/>
        <v>544</v>
      </c>
      <c r="AF64" s="34">
        <f t="shared" si="4"/>
        <v>41671</v>
      </c>
      <c r="AG64" s="85">
        <v>44497</v>
      </c>
      <c r="AH64" s="53">
        <f>IF(AG65&lt;&gt;0,AG65-AG55,0)</f>
        <v>198</v>
      </c>
      <c r="AI64" s="74">
        <f t="shared" si="32"/>
        <v>27</v>
      </c>
      <c r="AK64" s="28">
        <f t="shared" si="5"/>
        <v>41671</v>
      </c>
      <c r="AL64" s="85">
        <v>12600</v>
      </c>
      <c r="AM64" s="53">
        <f>IF(AL65&lt;&gt;0,AL65-AL55,0)</f>
        <v>1816</v>
      </c>
      <c r="AN64" s="74">
        <f t="shared" si="26"/>
        <v>104</v>
      </c>
      <c r="AO64" s="216"/>
      <c r="AP64" s="216"/>
    </row>
    <row r="65" spans="3:51" x14ac:dyDescent="0.25">
      <c r="C65" s="28">
        <v>41699</v>
      </c>
      <c r="D65" s="28"/>
      <c r="E65" s="85">
        <v>123628</v>
      </c>
      <c r="F65" s="79">
        <f>IF(E66&lt;&gt;0,E66-E55,0)</f>
        <v>8420</v>
      </c>
      <c r="G65" s="80">
        <f t="shared" si="27"/>
        <v>967</v>
      </c>
      <c r="I65" s="28">
        <f t="shared" si="0"/>
        <v>41699</v>
      </c>
      <c r="J65" s="28"/>
      <c r="K65" s="86">
        <v>48976</v>
      </c>
      <c r="L65" s="53">
        <f>IF(K66&lt;&gt;0,K66-K55,0)</f>
        <v>589</v>
      </c>
      <c r="M65" s="80">
        <f t="shared" si="28"/>
        <v>100</v>
      </c>
      <c r="O65" s="28">
        <f t="shared" si="1"/>
        <v>41699</v>
      </c>
      <c r="P65" s="284"/>
      <c r="Q65" s="85">
        <v>34809</v>
      </c>
      <c r="R65" s="53">
        <f>IF(Q66&lt;&gt;0,Q66-Q55,0)</f>
        <v>3126</v>
      </c>
      <c r="S65" s="80">
        <f t="shared" si="29"/>
        <v>403</v>
      </c>
      <c r="V65" s="28">
        <f t="shared" si="2"/>
        <v>41699</v>
      </c>
      <c r="W65" s="86">
        <v>10735</v>
      </c>
      <c r="X65" s="53">
        <f>IF(W66&lt;&gt;0,W66-W55,0)</f>
        <v>679</v>
      </c>
      <c r="Y65" s="74">
        <f t="shared" si="30"/>
        <v>68</v>
      </c>
      <c r="AA65" s="34">
        <f t="shared" si="3"/>
        <v>41699</v>
      </c>
      <c r="AB65" s="85">
        <v>31253</v>
      </c>
      <c r="AC65" s="53">
        <f>IF(AB66&lt;&gt;0,AB66-AB55,0)</f>
        <v>2778</v>
      </c>
      <c r="AD65" s="74">
        <f t="shared" si="31"/>
        <v>329</v>
      </c>
      <c r="AF65" s="34">
        <f t="shared" si="4"/>
        <v>41699</v>
      </c>
      <c r="AG65" s="85">
        <v>44524</v>
      </c>
      <c r="AH65" s="53">
        <f>IF(AG66&lt;&gt;0,AG66-AG55,0)</f>
        <v>200</v>
      </c>
      <c r="AI65" s="74">
        <f t="shared" si="32"/>
        <v>2</v>
      </c>
      <c r="AK65" s="28">
        <f t="shared" si="5"/>
        <v>41699</v>
      </c>
      <c r="AL65" s="85">
        <v>12704</v>
      </c>
      <c r="AM65" s="53">
        <f>IF(AL66&lt;&gt;0,AL66-AL55,0)</f>
        <v>2132</v>
      </c>
      <c r="AN65" s="74">
        <f t="shared" si="26"/>
        <v>316</v>
      </c>
      <c r="AO65" s="216"/>
      <c r="AP65" s="216"/>
    </row>
    <row r="66" spans="3:51" x14ac:dyDescent="0.25">
      <c r="C66" s="28">
        <v>41730</v>
      </c>
      <c r="D66" s="28"/>
      <c r="E66" s="85">
        <v>124595</v>
      </c>
      <c r="F66" s="79">
        <f>IF(E67&lt;&gt;0,E67-E55,0)</f>
        <v>8664</v>
      </c>
      <c r="G66" s="80">
        <f t="shared" si="27"/>
        <v>244</v>
      </c>
      <c r="I66" s="28">
        <f t="shared" si="0"/>
        <v>41730</v>
      </c>
      <c r="J66" s="28"/>
      <c r="K66" s="86">
        <v>49076</v>
      </c>
      <c r="L66" s="53">
        <f>IF(K67&lt;&gt;0,K67-K55,0)</f>
        <v>560</v>
      </c>
      <c r="M66" s="80">
        <f t="shared" si="28"/>
        <v>-29</v>
      </c>
      <c r="O66" s="28">
        <f t="shared" si="1"/>
        <v>41730</v>
      </c>
      <c r="P66" s="284"/>
      <c r="Q66" s="85">
        <v>35212</v>
      </c>
      <c r="R66" s="53">
        <f>IF(Q67&lt;&gt;0,Q67-Q55,0)</f>
        <v>3463</v>
      </c>
      <c r="S66" s="80">
        <f t="shared" si="29"/>
        <v>337</v>
      </c>
      <c r="V66" s="28">
        <f t="shared" si="2"/>
        <v>41730</v>
      </c>
      <c r="W66" s="86">
        <v>10803</v>
      </c>
      <c r="X66" s="53">
        <f>IF(W67&lt;&gt;0,W67-W55,0)</f>
        <v>759</v>
      </c>
      <c r="Y66" s="74">
        <f t="shared" si="30"/>
        <v>80</v>
      </c>
      <c r="AA66" s="34">
        <f t="shared" si="3"/>
        <v>41730</v>
      </c>
      <c r="AB66" s="85">
        <v>31582</v>
      </c>
      <c r="AC66" s="53">
        <f>IF(AB67&lt;&gt;0,AB67-AB55,0)</f>
        <v>2957</v>
      </c>
      <c r="AD66" s="74">
        <f t="shared" si="31"/>
        <v>179</v>
      </c>
      <c r="AF66" s="34">
        <f t="shared" si="4"/>
        <v>41730</v>
      </c>
      <c r="AG66" s="85">
        <v>44526</v>
      </c>
      <c r="AH66" s="53">
        <f>IF(AG67&lt;&gt;0,AG67-AG55,0)</f>
        <v>202</v>
      </c>
      <c r="AI66" s="74">
        <f t="shared" si="32"/>
        <v>2</v>
      </c>
      <c r="AK66" s="28">
        <f t="shared" si="5"/>
        <v>41730</v>
      </c>
      <c r="AL66" s="85">
        <v>13020</v>
      </c>
      <c r="AM66" s="53">
        <f>IF(AL67&lt;&gt;0,AL67-AL55,0)</f>
        <v>2512</v>
      </c>
      <c r="AN66" s="74">
        <f t="shared" si="26"/>
        <v>380</v>
      </c>
      <c r="AO66" s="216"/>
      <c r="AP66" s="216"/>
    </row>
    <row r="67" spans="3:51" x14ac:dyDescent="0.25">
      <c r="C67" s="28">
        <v>41760</v>
      </c>
      <c r="D67" s="28"/>
      <c r="E67" s="85">
        <v>124839</v>
      </c>
      <c r="F67" s="79">
        <f>IF(E68&lt;&gt;0,E68-E55,0)</f>
        <v>8805</v>
      </c>
      <c r="G67" s="80">
        <f t="shared" si="27"/>
        <v>141</v>
      </c>
      <c r="I67" s="28">
        <f t="shared" si="0"/>
        <v>41760</v>
      </c>
      <c r="J67" s="28"/>
      <c r="K67" s="86">
        <v>49047</v>
      </c>
      <c r="L67" s="53">
        <f>IF(K68&lt;&gt;0,K68-K55,0)</f>
        <v>475</v>
      </c>
      <c r="M67" s="80">
        <f t="shared" si="28"/>
        <v>-85</v>
      </c>
      <c r="O67" s="28">
        <f t="shared" si="1"/>
        <v>41760</v>
      </c>
      <c r="P67" s="284"/>
      <c r="Q67" s="85">
        <v>35549</v>
      </c>
      <c r="R67" s="53">
        <f>IF(Q68&lt;&gt;0,Q68-Q55,0)</f>
        <v>3655</v>
      </c>
      <c r="S67" s="80">
        <f t="shared" si="29"/>
        <v>192</v>
      </c>
      <c r="V67" s="28">
        <f t="shared" si="2"/>
        <v>41760</v>
      </c>
      <c r="W67" s="86">
        <v>10883</v>
      </c>
      <c r="X67" s="53">
        <f>IF(W68&lt;&gt;0,W68-W55,0)</f>
        <v>859</v>
      </c>
      <c r="Y67" s="74">
        <f t="shared" si="30"/>
        <v>100</v>
      </c>
      <c r="AA67" s="34">
        <f t="shared" si="3"/>
        <v>41760</v>
      </c>
      <c r="AB67" s="85">
        <v>31761</v>
      </c>
      <c r="AC67" s="53">
        <f>IF(AB68&lt;&gt;0,AB68-AB55,0)</f>
        <v>3056</v>
      </c>
      <c r="AD67" s="74">
        <f t="shared" si="31"/>
        <v>99</v>
      </c>
      <c r="AF67" s="34">
        <f t="shared" si="4"/>
        <v>41760</v>
      </c>
      <c r="AG67" s="85">
        <v>44528</v>
      </c>
      <c r="AH67" s="53">
        <f>IF(AG68&lt;&gt;0,AG68-AG55,0)</f>
        <v>203</v>
      </c>
      <c r="AI67" s="74">
        <f t="shared" si="32"/>
        <v>1</v>
      </c>
      <c r="AK67" s="28">
        <f t="shared" si="5"/>
        <v>41760</v>
      </c>
      <c r="AL67" s="85">
        <v>13400</v>
      </c>
      <c r="AM67" s="53">
        <f>IF(AL68&lt;&gt;0,AL68-AL55,0)</f>
        <v>2925</v>
      </c>
      <c r="AN67" s="74">
        <f t="shared" si="26"/>
        <v>413</v>
      </c>
      <c r="AO67" s="216"/>
      <c r="AP67" s="216"/>
    </row>
    <row r="68" spans="3:51" x14ac:dyDescent="0.25">
      <c r="C68" s="28">
        <v>41791</v>
      </c>
      <c r="D68" s="28"/>
      <c r="E68" s="85">
        <v>124980</v>
      </c>
      <c r="F68" s="79">
        <f>IF(E71&lt;&gt;0,E71-E55,0)</f>
        <v>8805</v>
      </c>
      <c r="G68" s="80">
        <f>IF(E71&lt;&gt;0,E71-E68,0)</f>
        <v>0</v>
      </c>
      <c r="I68" s="28">
        <f t="shared" si="0"/>
        <v>41791</v>
      </c>
      <c r="J68" s="28"/>
      <c r="K68" s="86">
        <v>48962</v>
      </c>
      <c r="L68" s="53">
        <f>IF(K71&lt;&gt;0,K71-K55,0)</f>
        <v>316</v>
      </c>
      <c r="M68" s="80">
        <f>IF(K71&lt;&gt;0,K71-K68,0)</f>
        <v>-159</v>
      </c>
      <c r="O68" s="28">
        <f t="shared" si="1"/>
        <v>41791</v>
      </c>
      <c r="P68" s="284"/>
      <c r="Q68" s="85">
        <v>35741</v>
      </c>
      <c r="R68" s="53">
        <f>IF(Q71&lt;&gt;0,Q71-Q55,0)</f>
        <v>3849</v>
      </c>
      <c r="S68" s="80">
        <f>IF(Q71&lt;&gt;0,Q71-Q68,0)</f>
        <v>194</v>
      </c>
      <c r="V68" s="28">
        <f t="shared" si="2"/>
        <v>41791</v>
      </c>
      <c r="W68" s="86">
        <v>10983</v>
      </c>
      <c r="X68" s="53">
        <f>IF(W71&lt;&gt;0,W71-W55,0)</f>
        <v>948</v>
      </c>
      <c r="Y68" s="74">
        <f>IF(W71&lt;&gt;0,W71-W68,0)</f>
        <v>89</v>
      </c>
      <c r="AA68" s="34">
        <f t="shared" si="3"/>
        <v>41791</v>
      </c>
      <c r="AB68" s="85">
        <v>31860</v>
      </c>
      <c r="AC68" s="53">
        <f>IF(AB71&lt;&gt;0,AB71-AB55,0)</f>
        <v>3135</v>
      </c>
      <c r="AD68" s="74">
        <f>IF(AB71&lt;&gt;0,AB71-AB68,0)</f>
        <v>79</v>
      </c>
      <c r="AF68" s="34">
        <f t="shared" si="4"/>
        <v>41791</v>
      </c>
      <c r="AG68" s="85">
        <v>44529</v>
      </c>
      <c r="AH68" s="53">
        <f>IF(AG71&lt;&gt;0,AG71-AG55,0)</f>
        <v>204</v>
      </c>
      <c r="AI68" s="74">
        <f>IF(AG71&lt;&gt;0,AG71-AG68,"")</f>
        <v>1</v>
      </c>
      <c r="AK68" s="28">
        <f t="shared" si="5"/>
        <v>41791</v>
      </c>
      <c r="AL68" s="85">
        <v>13813</v>
      </c>
      <c r="AM68" s="53">
        <f>IF(AL71&lt;&gt;0,AL71-AL55,0)</f>
        <v>3362</v>
      </c>
      <c r="AN68" s="74">
        <f>IF(AL71&lt;&gt;0,AL71-AL68,0)</f>
        <v>437</v>
      </c>
      <c r="AO68" s="216"/>
      <c r="AP68" s="216"/>
    </row>
    <row r="69" spans="3:51" ht="15.75" thickBot="1" x14ac:dyDescent="0.3">
      <c r="C69" s="76" t="s">
        <v>21</v>
      </c>
      <c r="D69" s="77">
        <v>41813</v>
      </c>
      <c r="E69" s="78">
        <v>124980</v>
      </c>
      <c r="F69" s="79"/>
      <c r="G69" s="80"/>
      <c r="I69" s="101" t="str">
        <f>C69</f>
        <v>BELPOWER</v>
      </c>
      <c r="J69" s="101"/>
      <c r="K69" s="81">
        <v>48861</v>
      </c>
      <c r="L69" s="53"/>
      <c r="M69" s="80"/>
      <c r="O69" s="101" t="str">
        <f>C69</f>
        <v>BELPOWER</v>
      </c>
      <c r="P69" s="288"/>
      <c r="Q69" s="82">
        <v>35879</v>
      </c>
      <c r="R69" s="53"/>
      <c r="S69" s="80"/>
      <c r="V69" s="101" t="str">
        <f>C69</f>
        <v>BELPOWER</v>
      </c>
      <c r="W69" s="81">
        <v>11045</v>
      </c>
      <c r="X69" s="53"/>
      <c r="Y69" s="74"/>
      <c r="AA69" s="77" t="str">
        <f>C69</f>
        <v>BELPOWER</v>
      </c>
      <c r="AB69" s="82">
        <v>31919</v>
      </c>
      <c r="AC69" s="53"/>
      <c r="AD69" s="74"/>
      <c r="AF69" s="77"/>
      <c r="AG69" s="78">
        <v>44530</v>
      </c>
      <c r="AH69" s="53"/>
      <c r="AI69" s="74"/>
      <c r="AK69" s="28" t="str">
        <f>C69</f>
        <v>BELPOWER</v>
      </c>
      <c r="AL69" s="78"/>
      <c r="AM69" s="53"/>
      <c r="AN69" s="74"/>
      <c r="AO69" s="216"/>
      <c r="AP69" s="216"/>
    </row>
    <row r="70" spans="3:51" ht="15.75" thickBot="1" x14ac:dyDescent="0.3">
      <c r="C70" s="76"/>
      <c r="D70" s="77"/>
      <c r="E70" s="83">
        <f>+E69-E56</f>
        <v>8805</v>
      </c>
      <c r="F70" s="79"/>
      <c r="G70" s="80"/>
      <c r="I70" s="101"/>
      <c r="J70" s="101"/>
      <c r="K70" s="83">
        <f>+K69-K56</f>
        <v>386</v>
      </c>
      <c r="L70" s="53"/>
      <c r="M70" s="80"/>
      <c r="O70" s="101"/>
      <c r="P70" s="288"/>
      <c r="Q70" s="83">
        <f>+Q69-Q56</f>
        <v>3913</v>
      </c>
      <c r="R70" s="53"/>
      <c r="S70" s="80"/>
      <c r="V70" s="101"/>
      <c r="W70" s="83">
        <f>+W69-W56</f>
        <v>882</v>
      </c>
      <c r="X70" s="53"/>
      <c r="Y70" s="74"/>
      <c r="AA70" s="77"/>
      <c r="AB70" s="83">
        <f>+AB69-AB56</f>
        <v>3097</v>
      </c>
      <c r="AC70" s="53"/>
      <c r="AD70" s="74"/>
      <c r="AF70" s="77"/>
      <c r="AG70" s="83">
        <f>+AG69-AG56</f>
        <v>204</v>
      </c>
      <c r="AH70" s="53"/>
      <c r="AI70" s="74"/>
      <c r="AK70" s="28"/>
      <c r="AL70" s="78"/>
      <c r="AM70" s="53"/>
      <c r="AN70" s="74"/>
      <c r="AO70" s="216"/>
      <c r="AP70" s="216"/>
    </row>
    <row r="71" spans="3:51" x14ac:dyDescent="0.25">
      <c r="C71" s="28">
        <v>41821</v>
      </c>
      <c r="D71" s="28"/>
      <c r="E71" s="88">
        <v>124980</v>
      </c>
      <c r="F71" s="89"/>
      <c r="G71" s="90"/>
      <c r="I71" s="28">
        <f t="shared" si="0"/>
        <v>41821</v>
      </c>
      <c r="J71" s="28"/>
      <c r="K71" s="91">
        <v>48803</v>
      </c>
      <c r="L71" s="49"/>
      <c r="M71" s="92"/>
      <c r="O71" s="28">
        <f t="shared" si="1"/>
        <v>41821</v>
      </c>
      <c r="P71" s="284"/>
      <c r="Q71" s="88">
        <v>35935</v>
      </c>
      <c r="R71" s="49"/>
      <c r="S71" s="92"/>
      <c r="V71" s="28">
        <f t="shared" si="2"/>
        <v>41821</v>
      </c>
      <c r="W71" s="91">
        <v>11072</v>
      </c>
      <c r="X71" s="49"/>
      <c r="Y71" s="92"/>
      <c r="AA71" s="34">
        <f t="shared" si="3"/>
        <v>41821</v>
      </c>
      <c r="AB71" s="88">
        <v>31939</v>
      </c>
      <c r="AC71" s="49"/>
      <c r="AD71" s="92"/>
      <c r="AF71" s="34">
        <f t="shared" si="4"/>
        <v>41821</v>
      </c>
      <c r="AG71" s="88">
        <v>44530</v>
      </c>
      <c r="AH71" s="49"/>
      <c r="AI71" s="92"/>
      <c r="AK71" s="28">
        <f t="shared" si="5"/>
        <v>41821</v>
      </c>
      <c r="AL71" s="88">
        <v>14250</v>
      </c>
      <c r="AM71" s="49"/>
      <c r="AN71" s="92"/>
      <c r="AO71" s="216"/>
      <c r="AP71" s="216"/>
    </row>
    <row r="72" spans="3:51" x14ac:dyDescent="0.25">
      <c r="C72" s="52" t="s">
        <v>18</v>
      </c>
      <c r="D72" s="52"/>
      <c r="E72" s="54"/>
      <c r="F72" s="54"/>
      <c r="G72" s="54">
        <f>SUM(G55:G71)</f>
        <v>8805</v>
      </c>
      <c r="I72" s="28" t="str">
        <f t="shared" si="0"/>
        <v xml:space="preserve">  </v>
      </c>
      <c r="J72" s="28"/>
      <c r="K72" s="54"/>
      <c r="L72" s="54"/>
      <c r="M72" s="54">
        <f>SUM(M55:M71)</f>
        <v>316</v>
      </c>
      <c r="O72" s="28" t="str">
        <f t="shared" si="1"/>
        <v xml:space="preserve">  </v>
      </c>
      <c r="P72" s="284"/>
      <c r="Q72" s="54"/>
      <c r="R72" s="54"/>
      <c r="S72" s="54">
        <f>SUM(S55:S71)</f>
        <v>3849</v>
      </c>
      <c r="V72" s="28" t="str">
        <f t="shared" si="2"/>
        <v xml:space="preserve">  </v>
      </c>
      <c r="W72" s="54"/>
      <c r="X72" s="54"/>
      <c r="Y72" s="54">
        <f>SUM(Y55:Y71)</f>
        <v>948</v>
      </c>
      <c r="AA72" s="34" t="str">
        <f t="shared" si="3"/>
        <v xml:space="preserve">  </v>
      </c>
      <c r="AB72" s="54"/>
      <c r="AC72" s="54"/>
      <c r="AD72" s="54">
        <f>SUM(AD55:AD71)</f>
        <v>3135</v>
      </c>
      <c r="AF72" s="34" t="str">
        <f t="shared" si="4"/>
        <v xml:space="preserve">  </v>
      </c>
      <c r="AG72" s="102"/>
      <c r="AH72" s="102"/>
      <c r="AI72" s="54">
        <f>SUM(AI55:AI71)</f>
        <v>204</v>
      </c>
      <c r="AK72" s="28" t="str">
        <f t="shared" si="5"/>
        <v xml:space="preserve">  </v>
      </c>
      <c r="AL72" s="54"/>
      <c r="AM72" s="54"/>
      <c r="AN72" s="54">
        <f>SUM(AN55:AN71)</f>
        <v>3362</v>
      </c>
      <c r="AO72" s="54"/>
      <c r="AP72" s="54"/>
    </row>
    <row r="73" spans="3:51" x14ac:dyDescent="0.25">
      <c r="C73" s="1" t="s">
        <v>18</v>
      </c>
      <c r="E73" s="96" t="s">
        <v>7</v>
      </c>
      <c r="F73" s="97" t="s">
        <v>1</v>
      </c>
      <c r="G73" s="98" t="s">
        <v>2</v>
      </c>
      <c r="I73" s="28" t="str">
        <f t="shared" si="0"/>
        <v xml:space="preserve">  </v>
      </c>
      <c r="J73" s="28"/>
      <c r="K73" s="96" t="s">
        <v>7</v>
      </c>
      <c r="L73" s="97" t="s">
        <v>1</v>
      </c>
      <c r="M73" s="98" t="s">
        <v>2</v>
      </c>
      <c r="O73" s="28" t="str">
        <f t="shared" si="1"/>
        <v xml:space="preserve">  </v>
      </c>
      <c r="P73" s="284"/>
      <c r="Q73" s="63" t="s">
        <v>7</v>
      </c>
      <c r="R73" s="64" t="s">
        <v>1</v>
      </c>
      <c r="S73" s="65" t="s">
        <v>2</v>
      </c>
      <c r="V73" s="28" t="str">
        <f t="shared" si="2"/>
        <v xml:space="preserve">  </v>
      </c>
      <c r="W73" s="96" t="s">
        <v>7</v>
      </c>
      <c r="X73" s="97" t="s">
        <v>1</v>
      </c>
      <c r="Y73" s="98" t="s">
        <v>2</v>
      </c>
      <c r="AA73" s="34" t="str">
        <f t="shared" si="3"/>
        <v xml:space="preserve">  </v>
      </c>
      <c r="AB73" s="63" t="s">
        <v>7</v>
      </c>
      <c r="AC73" s="64" t="s">
        <v>1</v>
      </c>
      <c r="AD73" s="65" t="s">
        <v>2</v>
      </c>
      <c r="AF73" s="34" t="str">
        <f t="shared" si="4"/>
        <v xml:space="preserve">  </v>
      </c>
      <c r="AG73" s="99" t="s">
        <v>7</v>
      </c>
      <c r="AH73" s="64" t="s">
        <v>1</v>
      </c>
      <c r="AI73" s="100" t="s">
        <v>2</v>
      </c>
      <c r="AK73" s="28" t="str">
        <f t="shared" si="5"/>
        <v xml:space="preserve">  </v>
      </c>
      <c r="AL73" s="63" t="s">
        <v>7</v>
      </c>
      <c r="AM73" s="64" t="s">
        <v>1</v>
      </c>
      <c r="AN73" s="65" t="s">
        <v>2</v>
      </c>
      <c r="AO73" s="215"/>
      <c r="AP73" s="215"/>
    </row>
    <row r="74" spans="3:51" x14ac:dyDescent="0.25">
      <c r="C74" s="28">
        <v>41821</v>
      </c>
      <c r="D74" s="28"/>
      <c r="E74" s="66">
        <f>E71</f>
        <v>124980</v>
      </c>
      <c r="F74" s="67">
        <f>IF(E75&lt;&gt;0,E75-E74,"")</f>
        <v>0</v>
      </c>
      <c r="G74" s="68">
        <f>IF(E75&lt;&gt;0,E75-E74,0)</f>
        <v>0</v>
      </c>
      <c r="I74" s="28">
        <f t="shared" si="0"/>
        <v>41821</v>
      </c>
      <c r="J74" s="28"/>
      <c r="K74" s="69">
        <f>K52</f>
        <v>48487</v>
      </c>
      <c r="L74" s="70">
        <f>IF(K75&lt;&gt;0,K75-K74,0)</f>
        <v>160</v>
      </c>
      <c r="M74" s="68">
        <f>IF(K75&lt;&gt;0,K75-K74,0)</f>
        <v>160</v>
      </c>
      <c r="O74" s="28">
        <f t="shared" si="1"/>
        <v>41821</v>
      </c>
      <c r="P74" s="284"/>
      <c r="Q74" s="71">
        <f>Q71</f>
        <v>35935</v>
      </c>
      <c r="R74" s="70">
        <f>IF(Q75&lt;&gt;0,Q75-Q74,0)</f>
        <v>186</v>
      </c>
      <c r="S74" s="68">
        <f>IF(Q75&lt;&gt;0,Q75-Q74,0)</f>
        <v>186</v>
      </c>
      <c r="V74" s="28">
        <f t="shared" si="2"/>
        <v>41821</v>
      </c>
      <c r="W74" s="69">
        <f>W71</f>
        <v>11072</v>
      </c>
      <c r="X74" s="70">
        <f>IF(W75&lt;&gt;0,W75-W74,0)</f>
        <v>75</v>
      </c>
      <c r="Y74" s="72">
        <f>IF(W75&lt;&gt;0,W75-W74,0)</f>
        <v>75</v>
      </c>
      <c r="AA74" s="34">
        <f t="shared" si="3"/>
        <v>41821</v>
      </c>
      <c r="AB74" s="71">
        <f>AB71</f>
        <v>31939</v>
      </c>
      <c r="AC74" s="70">
        <f>IF(AB75&lt;&gt;0,AB75-AB74,0)</f>
        <v>72</v>
      </c>
      <c r="AD74" s="72">
        <f>IF(AB75&lt;&gt;0,AB75-AB74,0)</f>
        <v>72</v>
      </c>
      <c r="AF74" s="34">
        <f t="shared" si="4"/>
        <v>41821</v>
      </c>
      <c r="AG74" s="73">
        <f>AG71</f>
        <v>44530</v>
      </c>
      <c r="AH74" s="70">
        <f>IF(AG75&lt;&gt;0,AG75-AG74,0)</f>
        <v>2</v>
      </c>
      <c r="AI74" s="74">
        <f>IF(AG75&lt;&gt;0,AG75-AG74,"")</f>
        <v>2</v>
      </c>
      <c r="AK74" s="28">
        <f t="shared" si="5"/>
        <v>41821</v>
      </c>
      <c r="AL74" s="75">
        <f>AL71</f>
        <v>14250</v>
      </c>
      <c r="AM74" s="70">
        <f>IF(AL75&lt;&gt;0,AL75-AL74,0)</f>
        <v>430</v>
      </c>
      <c r="AN74" s="72">
        <f t="shared" ref="AN74:AN85" si="33">IF(AL75&lt;&gt;0,AL75-AL74,0)</f>
        <v>430</v>
      </c>
      <c r="AO74" s="216"/>
      <c r="AP74" s="216"/>
    </row>
    <row r="75" spans="3:51" x14ac:dyDescent="0.25">
      <c r="C75" s="28">
        <v>41852</v>
      </c>
      <c r="D75" s="28"/>
      <c r="E75" s="85">
        <v>124980</v>
      </c>
      <c r="F75" s="79">
        <f>IF(E76&lt;&gt;0,E76-E74,"")</f>
        <v>0</v>
      </c>
      <c r="G75" s="80">
        <f>IF(E76&lt;&gt;0,E76-E75,0)</f>
        <v>0</v>
      </c>
      <c r="I75" s="28">
        <f t="shared" ref="I75:I104" si="34">C75</f>
        <v>41852</v>
      </c>
      <c r="J75" s="28"/>
      <c r="K75" s="86">
        <v>48647</v>
      </c>
      <c r="L75" s="53">
        <f>IF(K76&lt;&gt;0,K76-K74,0)</f>
        <v>111</v>
      </c>
      <c r="M75" s="80">
        <f>IF(K76&lt;&gt;0,K76-K75,0)</f>
        <v>-49</v>
      </c>
      <c r="O75" s="28">
        <f t="shared" ref="O75:O104" si="35">C75</f>
        <v>41852</v>
      </c>
      <c r="P75" s="284"/>
      <c r="Q75" s="85">
        <v>36121</v>
      </c>
      <c r="R75" s="53">
        <f>IF(Q76&lt;&gt;0,Q76-Q74,0)</f>
        <v>409</v>
      </c>
      <c r="S75" s="80">
        <f>IF(Q76&lt;&gt;0,Q76-Q75,0)</f>
        <v>223</v>
      </c>
      <c r="V75" s="28">
        <f t="shared" ref="V75:V104" si="36">C75</f>
        <v>41852</v>
      </c>
      <c r="W75" s="86">
        <v>11147</v>
      </c>
      <c r="X75" s="53">
        <f>IF(W76&lt;&gt;0,W76-W74,0)</f>
        <v>156</v>
      </c>
      <c r="Y75" s="74">
        <f>IF(W76&lt;&gt;0,W76-W75,0)</f>
        <v>81</v>
      </c>
      <c r="AA75" s="34">
        <f t="shared" ref="AA75:AA104" si="37">C75</f>
        <v>41852</v>
      </c>
      <c r="AB75" s="85">
        <v>32011</v>
      </c>
      <c r="AC75" s="53">
        <f>IF(AB76&lt;&gt;0,AB76-AB74,0)</f>
        <v>145</v>
      </c>
      <c r="AD75" s="74">
        <f>IF(AB76&lt;&gt;0,AB76-AB75,0)</f>
        <v>73</v>
      </c>
      <c r="AF75" s="34">
        <f t="shared" ref="AF75:AF104" si="38">C75</f>
        <v>41852</v>
      </c>
      <c r="AG75" s="85">
        <v>44532</v>
      </c>
      <c r="AH75" s="53">
        <f>IF(AG76&lt;&gt;0,AG76-AG74,0)</f>
        <v>6</v>
      </c>
      <c r="AI75" s="74">
        <f>IF(AG76&lt;&gt;0,AG76-AG75,"")</f>
        <v>4</v>
      </c>
      <c r="AK75" s="28">
        <f t="shared" ref="AK75:AK104" si="39">C75</f>
        <v>41852</v>
      </c>
      <c r="AL75" s="85">
        <v>14680</v>
      </c>
      <c r="AM75" s="53">
        <f>IF(AL76&lt;&gt;0,AL76-AL74,0)</f>
        <v>688</v>
      </c>
      <c r="AN75" s="74">
        <f t="shared" si="33"/>
        <v>258</v>
      </c>
      <c r="AO75" s="216"/>
      <c r="AP75" s="216"/>
    </row>
    <row r="76" spans="3:51" x14ac:dyDescent="0.25">
      <c r="C76" s="28">
        <v>41883</v>
      </c>
      <c r="D76" s="28"/>
      <c r="E76" s="85">
        <v>124980</v>
      </c>
      <c r="F76" s="79">
        <f>IF(E77&lt;&gt;0,E77-E74,"")</f>
        <v>0</v>
      </c>
      <c r="G76" s="80">
        <f t="shared" ref="G76:G85" si="40">IF(E77&lt;&gt;0,E77-E76,0)</f>
        <v>0</v>
      </c>
      <c r="I76" s="28">
        <f t="shared" si="34"/>
        <v>41883</v>
      </c>
      <c r="J76" s="28"/>
      <c r="K76" s="86">
        <v>48598</v>
      </c>
      <c r="L76" s="53">
        <f>IF(K77&lt;&gt;0,K77-K74,0)</f>
        <v>46</v>
      </c>
      <c r="M76" s="80">
        <f t="shared" ref="M76:M85" si="41">IF(K77&lt;&gt;0,K77-K76,0)</f>
        <v>-65</v>
      </c>
      <c r="O76" s="28">
        <f t="shared" si="35"/>
        <v>41883</v>
      </c>
      <c r="P76" s="284"/>
      <c r="Q76" s="85">
        <v>36344</v>
      </c>
      <c r="R76" s="53">
        <f>IF(Q77&lt;&gt;0,Q77-Q74,0)</f>
        <v>649</v>
      </c>
      <c r="S76" s="80">
        <f t="shared" ref="S76:S85" si="42">IF(Q77&lt;&gt;0,Q77-Q76,0)</f>
        <v>240</v>
      </c>
      <c r="V76" s="28">
        <f t="shared" si="36"/>
        <v>41883</v>
      </c>
      <c r="W76" s="86">
        <v>11228</v>
      </c>
      <c r="X76" s="53">
        <f>IF(W77&lt;&gt;0,W77-W74,0)</f>
        <v>238</v>
      </c>
      <c r="Y76" s="74">
        <f t="shared" ref="Y76:Y85" si="43">IF(W77&lt;&gt;0,W77-W76,0)</f>
        <v>82</v>
      </c>
      <c r="AA76" s="34">
        <f t="shared" si="37"/>
        <v>41883</v>
      </c>
      <c r="AB76" s="85">
        <v>32084</v>
      </c>
      <c r="AC76" s="53">
        <f>IF(AB77&lt;&gt;0,AB77-AB74,0)</f>
        <v>224</v>
      </c>
      <c r="AD76" s="74">
        <f t="shared" ref="AD76:AD85" si="44">IF(AB77&lt;&gt;0,AB77-AB76,0)</f>
        <v>79</v>
      </c>
      <c r="AF76" s="34">
        <f t="shared" si="38"/>
        <v>41883</v>
      </c>
      <c r="AG76" s="85">
        <v>44536</v>
      </c>
      <c r="AH76" s="53">
        <f>IF(AG77&lt;&gt;0,AG77-AG74,0)</f>
        <v>9</v>
      </c>
      <c r="AI76" s="74">
        <f t="shared" ref="AI76:AI85" si="45">IF(AG77&lt;&gt;0,AG77-AG76,"")</f>
        <v>3</v>
      </c>
      <c r="AK76" s="28">
        <f t="shared" si="39"/>
        <v>41883</v>
      </c>
      <c r="AL76" s="85">
        <v>14938</v>
      </c>
      <c r="AM76" s="53">
        <f>IF(AL77&lt;&gt;0,AL77-AL74,0)</f>
        <v>967</v>
      </c>
      <c r="AN76" s="74">
        <f t="shared" si="33"/>
        <v>279</v>
      </c>
      <c r="AO76" s="216"/>
      <c r="AP76" s="216"/>
    </row>
    <row r="77" spans="3:51" x14ac:dyDescent="0.25">
      <c r="C77" s="28">
        <v>41913</v>
      </c>
      <c r="D77" s="28"/>
      <c r="E77" s="85">
        <v>124980</v>
      </c>
      <c r="F77" s="79">
        <f>IF(E78&lt;&gt;0,E78-E74,0)</f>
        <v>350</v>
      </c>
      <c r="G77" s="80">
        <f t="shared" si="40"/>
        <v>350</v>
      </c>
      <c r="I77" s="28">
        <f t="shared" si="34"/>
        <v>41913</v>
      </c>
      <c r="J77" s="28"/>
      <c r="K77" s="86">
        <v>48533</v>
      </c>
      <c r="L77" s="53">
        <f>IF(K78&lt;&gt;0,K78-K74,0)</f>
        <v>112</v>
      </c>
      <c r="M77" s="80">
        <f t="shared" si="41"/>
        <v>66</v>
      </c>
      <c r="O77" s="28">
        <f t="shared" si="35"/>
        <v>41913</v>
      </c>
      <c r="P77" s="284"/>
      <c r="Q77" s="85">
        <v>36584</v>
      </c>
      <c r="R77" s="53">
        <f>IF(Q78&lt;&gt;0,Q78-Q74,0)</f>
        <v>865</v>
      </c>
      <c r="S77" s="80">
        <f t="shared" si="42"/>
        <v>216</v>
      </c>
      <c r="V77" s="28">
        <f t="shared" si="36"/>
        <v>41913</v>
      </c>
      <c r="W77" s="86">
        <v>11310</v>
      </c>
      <c r="X77" s="53">
        <f>IF(W78&lt;&gt;0,W78-W74,0)</f>
        <v>326</v>
      </c>
      <c r="Y77" s="74">
        <f t="shared" si="43"/>
        <v>88</v>
      </c>
      <c r="AA77" s="34">
        <f t="shared" si="37"/>
        <v>41913</v>
      </c>
      <c r="AB77" s="85">
        <v>32163</v>
      </c>
      <c r="AC77" s="53">
        <f>IF(AB78&lt;&gt;0,AB78-AB74,0)</f>
        <v>391</v>
      </c>
      <c r="AD77" s="74">
        <f t="shared" si="44"/>
        <v>167</v>
      </c>
      <c r="AF77" s="34">
        <f t="shared" si="38"/>
        <v>41913</v>
      </c>
      <c r="AG77" s="85">
        <v>44539</v>
      </c>
      <c r="AH77" s="53">
        <f>IF(AG78&lt;&gt;0,AG78-AG74,0)</f>
        <v>11</v>
      </c>
      <c r="AI77" s="74">
        <f t="shared" si="45"/>
        <v>2</v>
      </c>
      <c r="AK77" s="28">
        <f t="shared" si="39"/>
        <v>41913</v>
      </c>
      <c r="AL77" s="87">
        <v>15217</v>
      </c>
      <c r="AM77" s="53">
        <f>IF(AL78&lt;&gt;0,AL78-AL74,0)</f>
        <v>1141</v>
      </c>
      <c r="AN77" s="74">
        <f t="shared" si="33"/>
        <v>174</v>
      </c>
      <c r="AO77" s="216"/>
      <c r="AP77" s="216"/>
      <c r="AW77" s="178">
        <v>22</v>
      </c>
      <c r="AX77" s="190"/>
      <c r="AY77" s="179">
        <f>AW77*65</f>
        <v>1430</v>
      </c>
    </row>
    <row r="78" spans="3:51" x14ac:dyDescent="0.25">
      <c r="C78" s="28">
        <v>41944</v>
      </c>
      <c r="D78" s="28"/>
      <c r="E78" s="85">
        <v>125330</v>
      </c>
      <c r="F78" s="79">
        <f>IF(E79&lt;&gt;0,E79-E74,0)</f>
        <v>1599</v>
      </c>
      <c r="G78" s="80">
        <f t="shared" si="40"/>
        <v>1249</v>
      </c>
      <c r="I78" s="28">
        <f t="shared" si="34"/>
        <v>41944</v>
      </c>
      <c r="J78" s="28"/>
      <c r="K78" s="86">
        <v>48599</v>
      </c>
      <c r="L78" s="53">
        <f>IF(K79&lt;&gt;0,K79-K74,0)</f>
        <v>221</v>
      </c>
      <c r="M78" s="80">
        <f t="shared" si="41"/>
        <v>109</v>
      </c>
      <c r="O78" s="28">
        <f t="shared" si="35"/>
        <v>41944</v>
      </c>
      <c r="P78" s="284"/>
      <c r="Q78" s="85">
        <v>36800</v>
      </c>
      <c r="R78" s="53">
        <f>IF(Q79&lt;&gt;0,Q79-Q74,0)</f>
        <v>1294</v>
      </c>
      <c r="S78" s="80">
        <f t="shared" si="42"/>
        <v>429</v>
      </c>
      <c r="V78" s="28">
        <f t="shared" si="36"/>
        <v>41944</v>
      </c>
      <c r="W78" s="86">
        <v>11398</v>
      </c>
      <c r="X78" s="53">
        <f>IF(W79&lt;&gt;0,W79-W74,0)</f>
        <v>395</v>
      </c>
      <c r="Y78" s="74">
        <f t="shared" si="43"/>
        <v>69</v>
      </c>
      <c r="AA78" s="34">
        <f t="shared" si="37"/>
        <v>41944</v>
      </c>
      <c r="AB78" s="85">
        <v>32330</v>
      </c>
      <c r="AC78" s="53">
        <f>IF(AB79&lt;&gt;0,AB79-AB74,0)</f>
        <v>804</v>
      </c>
      <c r="AD78" s="74">
        <f t="shared" si="44"/>
        <v>413</v>
      </c>
      <c r="AF78" s="34">
        <f t="shared" si="38"/>
        <v>41944</v>
      </c>
      <c r="AG78" s="85">
        <v>44541</v>
      </c>
      <c r="AH78" s="53">
        <f>IF(AG79&lt;&gt;0,AG79-AG74,0)</f>
        <v>13</v>
      </c>
      <c r="AI78" s="74">
        <f t="shared" si="45"/>
        <v>2</v>
      </c>
      <c r="AK78" s="28">
        <f t="shared" si="39"/>
        <v>41944</v>
      </c>
      <c r="AL78" s="85">
        <v>15391</v>
      </c>
      <c r="AM78" s="53">
        <f>IF(AL79&lt;&gt;0,AL79-AL74,0)</f>
        <v>1141</v>
      </c>
      <c r="AN78" s="74">
        <f t="shared" si="33"/>
        <v>0</v>
      </c>
      <c r="AO78" s="216"/>
      <c r="AP78" s="216"/>
    </row>
    <row r="79" spans="3:51" x14ac:dyDescent="0.25">
      <c r="C79" s="28">
        <v>41974</v>
      </c>
      <c r="D79" s="28"/>
      <c r="E79" s="85">
        <v>126579</v>
      </c>
      <c r="F79" s="79">
        <f>IF(E80&lt;&gt;0,E80-E74,0)</f>
        <v>4437</v>
      </c>
      <c r="G79" s="80">
        <f t="shared" si="40"/>
        <v>2838</v>
      </c>
      <c r="I79" s="28">
        <f t="shared" si="34"/>
        <v>41974</v>
      </c>
      <c r="J79" s="28"/>
      <c r="K79" s="86">
        <v>48708</v>
      </c>
      <c r="L79" s="53">
        <f>IF(K80&lt;&gt;0,K80-K74,0)</f>
        <v>444</v>
      </c>
      <c r="M79" s="80">
        <f t="shared" si="41"/>
        <v>223</v>
      </c>
      <c r="O79" s="28">
        <f t="shared" si="35"/>
        <v>41974</v>
      </c>
      <c r="P79" s="284"/>
      <c r="Q79" s="85">
        <v>37229</v>
      </c>
      <c r="R79" s="53">
        <f>IF(Q80&lt;&gt;0,Q80-Q74,0)</f>
        <v>1632</v>
      </c>
      <c r="S79" s="80">
        <f t="shared" si="42"/>
        <v>338</v>
      </c>
      <c r="V79" s="28">
        <f t="shared" si="36"/>
        <v>41974</v>
      </c>
      <c r="W79" s="86">
        <v>11467</v>
      </c>
      <c r="X79" s="53">
        <f>IF(W80&lt;&gt;0,W80-W74,0)</f>
        <v>565</v>
      </c>
      <c r="Y79" s="74">
        <f t="shared" si="43"/>
        <v>170</v>
      </c>
      <c r="AA79" s="34">
        <f t="shared" si="37"/>
        <v>41974</v>
      </c>
      <c r="AB79" s="85">
        <v>32743</v>
      </c>
      <c r="AC79" s="53">
        <f>IF(AB80&lt;&gt;0,AB80-AB74,0)</f>
        <v>1509</v>
      </c>
      <c r="AD79" s="74">
        <f t="shared" si="44"/>
        <v>705</v>
      </c>
      <c r="AF79" s="34">
        <f t="shared" si="38"/>
        <v>41974</v>
      </c>
      <c r="AG79" s="85">
        <v>44543</v>
      </c>
      <c r="AH79" s="53">
        <f>IF(AG80&lt;&gt;0,AG80-AG74,0)</f>
        <v>234</v>
      </c>
      <c r="AI79" s="74">
        <f t="shared" si="45"/>
        <v>221</v>
      </c>
      <c r="AK79" s="28">
        <f t="shared" si="39"/>
        <v>41974</v>
      </c>
      <c r="AL79" s="85">
        <v>15391</v>
      </c>
      <c r="AM79" s="53">
        <f>IF(AL80&lt;&gt;0,AL80-AL74,0)</f>
        <v>1141</v>
      </c>
      <c r="AN79" s="74">
        <f t="shared" si="33"/>
        <v>0</v>
      </c>
      <c r="AO79" s="216"/>
      <c r="AP79" s="216"/>
    </row>
    <row r="80" spans="3:51" x14ac:dyDescent="0.25">
      <c r="C80" s="28">
        <v>42005</v>
      </c>
      <c r="D80" s="28"/>
      <c r="E80" s="85">
        <v>129417</v>
      </c>
      <c r="F80" s="79">
        <f>IF(E81&lt;&gt;0,E81-E74,0)</f>
        <v>7714</v>
      </c>
      <c r="G80" s="80">
        <f t="shared" si="40"/>
        <v>3277</v>
      </c>
      <c r="I80" s="28">
        <f t="shared" si="34"/>
        <v>42005</v>
      </c>
      <c r="J80" s="28"/>
      <c r="K80" s="86">
        <v>48931</v>
      </c>
      <c r="L80" s="53">
        <f>IF(K81&lt;&gt;0,K81-K74,0)</f>
        <v>569</v>
      </c>
      <c r="M80" s="80">
        <f t="shared" si="41"/>
        <v>125</v>
      </c>
      <c r="O80" s="28">
        <f t="shared" si="35"/>
        <v>42005</v>
      </c>
      <c r="P80" s="284"/>
      <c r="Q80" s="85">
        <v>37567</v>
      </c>
      <c r="R80" s="53">
        <f>IF(Q81&lt;&gt;0,Q81-Q74,0)</f>
        <v>1994</v>
      </c>
      <c r="S80" s="80">
        <f t="shared" si="42"/>
        <v>362</v>
      </c>
      <c r="V80" s="28">
        <f t="shared" si="36"/>
        <v>42005</v>
      </c>
      <c r="W80" s="86">
        <v>11637</v>
      </c>
      <c r="X80" s="53">
        <f>IF(W81&lt;&gt;0,W81-W74,0)</f>
        <v>706</v>
      </c>
      <c r="Y80" s="74">
        <f t="shared" si="43"/>
        <v>141</v>
      </c>
      <c r="AA80" s="34">
        <f t="shared" si="37"/>
        <v>42005</v>
      </c>
      <c r="AB80" s="85">
        <v>33448</v>
      </c>
      <c r="AC80" s="53">
        <f>IF(AB81&lt;&gt;0,AB81-AB74,0)</f>
        <v>2331</v>
      </c>
      <c r="AD80" s="74">
        <f t="shared" si="44"/>
        <v>822</v>
      </c>
      <c r="AF80" s="34">
        <f t="shared" si="38"/>
        <v>42005</v>
      </c>
      <c r="AG80" s="85">
        <v>44764</v>
      </c>
      <c r="AH80" s="53">
        <f>IF(AG81&lt;&gt;0,AG81-AG74,0)</f>
        <v>478</v>
      </c>
      <c r="AI80" s="74">
        <f t="shared" si="45"/>
        <v>244</v>
      </c>
      <c r="AK80" s="28">
        <f t="shared" si="39"/>
        <v>42005</v>
      </c>
      <c r="AL80" s="85">
        <v>15391</v>
      </c>
      <c r="AM80" s="53">
        <f>IF(AL81&lt;&gt;0,AL81-AL74,0)</f>
        <v>1141</v>
      </c>
      <c r="AN80" s="74">
        <f t="shared" si="33"/>
        <v>0</v>
      </c>
      <c r="AO80" s="216"/>
      <c r="AP80" s="216"/>
    </row>
    <row r="81" spans="3:51" x14ac:dyDescent="0.25">
      <c r="C81" s="28">
        <v>42036</v>
      </c>
      <c r="D81" s="28"/>
      <c r="E81" s="85">
        <v>132694</v>
      </c>
      <c r="F81" s="79">
        <f>IF(E82&lt;&gt;0,E82-E74,0)</f>
        <v>10259</v>
      </c>
      <c r="G81" s="80">
        <f t="shared" si="40"/>
        <v>2545</v>
      </c>
      <c r="I81" s="28">
        <f t="shared" si="34"/>
        <v>42036</v>
      </c>
      <c r="J81" s="28"/>
      <c r="K81" s="86">
        <v>49056</v>
      </c>
      <c r="L81" s="53">
        <f>IF(K82&lt;&gt;0,K82-K74,0)</f>
        <v>607</v>
      </c>
      <c r="M81" s="80">
        <f t="shared" si="41"/>
        <v>38</v>
      </c>
      <c r="O81" s="28">
        <f t="shared" si="35"/>
        <v>42036</v>
      </c>
      <c r="P81" s="284"/>
      <c r="Q81" s="85">
        <v>37929</v>
      </c>
      <c r="R81" s="53">
        <f>IF(Q82&lt;&gt;0,Q82-Q74,0)</f>
        <v>2276</v>
      </c>
      <c r="S81" s="80">
        <f t="shared" si="42"/>
        <v>282</v>
      </c>
      <c r="V81" s="28">
        <f t="shared" si="36"/>
        <v>42036</v>
      </c>
      <c r="W81" s="86">
        <v>11778</v>
      </c>
      <c r="X81" s="53">
        <f>IF(W82&lt;&gt;0,W82-W74,0)</f>
        <v>800</v>
      </c>
      <c r="Y81" s="74">
        <f t="shared" si="43"/>
        <v>94</v>
      </c>
      <c r="AA81" s="34">
        <f t="shared" si="37"/>
        <v>42036</v>
      </c>
      <c r="AB81" s="85">
        <v>34270</v>
      </c>
      <c r="AC81" s="53">
        <f>IF(AB82&lt;&gt;0,AB82-AB74,0)</f>
        <v>3027</v>
      </c>
      <c r="AD81" s="74">
        <f t="shared" si="44"/>
        <v>696</v>
      </c>
      <c r="AF81" s="34">
        <f t="shared" si="38"/>
        <v>42036</v>
      </c>
      <c r="AG81" s="85">
        <v>45008</v>
      </c>
      <c r="AH81" s="53">
        <f>IF(AG82&lt;&gt;0,AG82-AG74,0)</f>
        <v>678</v>
      </c>
      <c r="AI81" s="74">
        <f t="shared" si="45"/>
        <v>200</v>
      </c>
      <c r="AK81" s="28">
        <f t="shared" si="39"/>
        <v>42036</v>
      </c>
      <c r="AL81" s="85">
        <v>15391</v>
      </c>
      <c r="AM81" s="53">
        <f>IF(AL82&lt;&gt;0,AL82-AL74,0)</f>
        <v>1141</v>
      </c>
      <c r="AN81" s="74">
        <f t="shared" si="33"/>
        <v>0</v>
      </c>
      <c r="AO81" s="216"/>
      <c r="AP81" s="216"/>
    </row>
    <row r="82" spans="3:51" x14ac:dyDescent="0.25">
      <c r="C82" s="28">
        <v>42064</v>
      </c>
      <c r="D82" s="28"/>
      <c r="E82" s="85">
        <v>135239</v>
      </c>
      <c r="F82" s="79">
        <f>IF(E83&lt;&gt;0,E83-E74,0)</f>
        <v>11768</v>
      </c>
      <c r="G82" s="80">
        <f t="shared" si="40"/>
        <v>1509</v>
      </c>
      <c r="I82" s="28">
        <f t="shared" si="34"/>
        <v>42064</v>
      </c>
      <c r="J82" s="28"/>
      <c r="K82" s="86">
        <v>49094</v>
      </c>
      <c r="L82" s="53">
        <f>IF(K83&lt;&gt;0,K83-K74,0)</f>
        <v>536</v>
      </c>
      <c r="M82" s="80">
        <f t="shared" si="41"/>
        <v>-71</v>
      </c>
      <c r="O82" s="28">
        <f t="shared" si="35"/>
        <v>42064</v>
      </c>
      <c r="P82" s="284"/>
      <c r="Q82" s="85">
        <v>38211</v>
      </c>
      <c r="R82" s="53">
        <f>IF(Q83&lt;&gt;0,Q83-Q74,0)</f>
        <v>2554</v>
      </c>
      <c r="S82" s="80">
        <f t="shared" si="42"/>
        <v>278</v>
      </c>
      <c r="V82" s="28">
        <f t="shared" si="36"/>
        <v>42064</v>
      </c>
      <c r="W82" s="86">
        <v>11872</v>
      </c>
      <c r="X82" s="53">
        <f>IF(W83&lt;&gt;0,W83-W74,0)</f>
        <v>883</v>
      </c>
      <c r="Y82" s="74">
        <f t="shared" si="43"/>
        <v>83</v>
      </c>
      <c r="AA82" s="34">
        <f t="shared" si="37"/>
        <v>42064</v>
      </c>
      <c r="AB82" s="85">
        <v>34966</v>
      </c>
      <c r="AC82" s="53">
        <f>IF(AB83&lt;&gt;0,AB83-AB74,0)</f>
        <v>3433</v>
      </c>
      <c r="AD82" s="74">
        <f t="shared" si="44"/>
        <v>406</v>
      </c>
      <c r="AF82" s="34">
        <f t="shared" si="38"/>
        <v>42064</v>
      </c>
      <c r="AG82" s="85">
        <v>45208</v>
      </c>
      <c r="AH82" s="53">
        <f>IF(AG83&lt;&gt;0,AG83-AG74,0)</f>
        <v>683</v>
      </c>
      <c r="AI82" s="74">
        <f t="shared" si="45"/>
        <v>5</v>
      </c>
      <c r="AK82" s="28">
        <f t="shared" si="39"/>
        <v>42064</v>
      </c>
      <c r="AL82" s="85">
        <v>15391</v>
      </c>
      <c r="AM82" s="53">
        <f>IF(AL83&lt;&gt;0,AL83-AL74,0)</f>
        <v>1141</v>
      </c>
      <c r="AN82" s="74">
        <f t="shared" si="33"/>
        <v>0</v>
      </c>
      <c r="AO82" s="216"/>
      <c r="AP82" s="216"/>
    </row>
    <row r="83" spans="3:51" x14ac:dyDescent="0.25">
      <c r="C83" s="28">
        <v>42095</v>
      </c>
      <c r="D83" s="28"/>
      <c r="E83" s="85">
        <v>136748</v>
      </c>
      <c r="F83" s="79">
        <f>IF(E84&lt;&gt;0,E84-E74,0)</f>
        <v>12211</v>
      </c>
      <c r="G83" s="80">
        <f t="shared" si="40"/>
        <v>443</v>
      </c>
      <c r="I83" s="28">
        <f t="shared" si="34"/>
        <v>42095</v>
      </c>
      <c r="J83" s="28"/>
      <c r="K83" s="86">
        <v>49023</v>
      </c>
      <c r="L83" s="53">
        <f>IF(K84&lt;&gt;0,K84-K74,0)</f>
        <v>384</v>
      </c>
      <c r="M83" s="80">
        <f t="shared" si="41"/>
        <v>-152</v>
      </c>
      <c r="O83" s="28">
        <f t="shared" si="35"/>
        <v>42095</v>
      </c>
      <c r="P83" s="284"/>
      <c r="Q83" s="85">
        <v>38489</v>
      </c>
      <c r="R83" s="53">
        <f>IF(Q84&lt;&gt;0,Q84-Q74,0)</f>
        <v>2823</v>
      </c>
      <c r="S83" s="80">
        <f t="shared" si="42"/>
        <v>269</v>
      </c>
      <c r="V83" s="28">
        <f t="shared" si="36"/>
        <v>42095</v>
      </c>
      <c r="W83" s="86">
        <v>11955</v>
      </c>
      <c r="X83" s="53">
        <f>IF(W84&lt;&gt;0,W84-W74,0)</f>
        <v>957</v>
      </c>
      <c r="Y83" s="74">
        <f t="shared" si="43"/>
        <v>74</v>
      </c>
      <c r="AA83" s="34">
        <f t="shared" si="37"/>
        <v>42095</v>
      </c>
      <c r="AB83" s="85">
        <v>35372</v>
      </c>
      <c r="AC83" s="53">
        <f>IF(AB84&lt;&gt;0,AB84-AB74,0)</f>
        <v>3613</v>
      </c>
      <c r="AD83" s="74">
        <f t="shared" si="44"/>
        <v>180</v>
      </c>
      <c r="AF83" s="34">
        <f t="shared" si="38"/>
        <v>42095</v>
      </c>
      <c r="AG83" s="85">
        <v>45213</v>
      </c>
      <c r="AH83" s="53">
        <f>IF(AG84&lt;&gt;0,AG84-AG74,0)</f>
        <v>684</v>
      </c>
      <c r="AI83" s="74">
        <f t="shared" si="45"/>
        <v>1</v>
      </c>
      <c r="AK83" s="28">
        <f t="shared" si="39"/>
        <v>42095</v>
      </c>
      <c r="AL83" s="85">
        <v>15391</v>
      </c>
      <c r="AM83" s="53">
        <f>IF(AL84&lt;&gt;0,AL84-AL74,0)</f>
        <v>1141</v>
      </c>
      <c r="AN83" s="74">
        <f t="shared" si="33"/>
        <v>0</v>
      </c>
      <c r="AO83" s="216"/>
      <c r="AP83" s="216"/>
    </row>
    <row r="84" spans="3:51" x14ac:dyDescent="0.25">
      <c r="C84" s="28">
        <v>42125</v>
      </c>
      <c r="D84" s="28"/>
      <c r="E84" s="85">
        <v>137191</v>
      </c>
      <c r="F84" s="79">
        <f>IF(E85&lt;&gt;0,E85-E74,0)</f>
        <v>12211</v>
      </c>
      <c r="G84" s="80">
        <f t="shared" si="40"/>
        <v>0</v>
      </c>
      <c r="I84" s="28">
        <f t="shared" si="34"/>
        <v>42125</v>
      </c>
      <c r="J84" s="28"/>
      <c r="K84" s="86">
        <v>48871</v>
      </c>
      <c r="L84" s="53">
        <f>IF(K85&lt;&gt;0,K85-K74,0)</f>
        <v>264</v>
      </c>
      <c r="M84" s="80">
        <f t="shared" si="41"/>
        <v>-120</v>
      </c>
      <c r="O84" s="28">
        <f t="shared" si="35"/>
        <v>42125</v>
      </c>
      <c r="P84" s="284"/>
      <c r="Q84" s="85">
        <v>38758</v>
      </c>
      <c r="R84" s="53">
        <f>IF(Q85&lt;&gt;0,Q85-Q74,0)</f>
        <v>3048</v>
      </c>
      <c r="S84" s="80">
        <f t="shared" si="42"/>
        <v>225</v>
      </c>
      <c r="V84" s="28">
        <f t="shared" si="36"/>
        <v>42125</v>
      </c>
      <c r="W84" s="86">
        <v>12029</v>
      </c>
      <c r="X84" s="53">
        <f>IF(W85&lt;&gt;0,W85-W74,0)</f>
        <v>1025</v>
      </c>
      <c r="Y84" s="74">
        <f t="shared" si="43"/>
        <v>68</v>
      </c>
      <c r="AA84" s="34">
        <f t="shared" si="37"/>
        <v>42125</v>
      </c>
      <c r="AB84" s="85">
        <v>35552</v>
      </c>
      <c r="AC84" s="53">
        <f>IF(AB85&lt;&gt;0,AB85-AB74,0)</f>
        <v>3685</v>
      </c>
      <c r="AD84" s="74">
        <f t="shared" si="44"/>
        <v>72</v>
      </c>
      <c r="AF84" s="34">
        <f t="shared" si="38"/>
        <v>42125</v>
      </c>
      <c r="AG84" s="85">
        <v>45214</v>
      </c>
      <c r="AH84" s="53">
        <f>IF(AG85&lt;&gt;0,AG85-AG74,0)</f>
        <v>685</v>
      </c>
      <c r="AI84" s="74">
        <f t="shared" si="45"/>
        <v>1</v>
      </c>
      <c r="AK84" s="28">
        <f t="shared" si="39"/>
        <v>42125</v>
      </c>
      <c r="AL84" s="85">
        <v>15391</v>
      </c>
      <c r="AM84" s="53">
        <f>IF(AL85&lt;&gt;0,AL85-AL74,0)</f>
        <v>1141</v>
      </c>
      <c r="AN84" s="74">
        <f t="shared" si="33"/>
        <v>0</v>
      </c>
      <c r="AO84" s="216"/>
      <c r="AP84" s="216"/>
    </row>
    <row r="85" spans="3:51" x14ac:dyDescent="0.25">
      <c r="C85" s="28">
        <v>42156</v>
      </c>
      <c r="D85" s="28"/>
      <c r="E85" s="85">
        <v>137191</v>
      </c>
      <c r="F85" s="79">
        <f>IF(E86&lt;&gt;0,E86-E74,0)</f>
        <v>12211</v>
      </c>
      <c r="G85" s="80">
        <f t="shared" si="40"/>
        <v>0</v>
      </c>
      <c r="I85" s="28">
        <f t="shared" si="34"/>
        <v>42156</v>
      </c>
      <c r="J85" s="28"/>
      <c r="K85" s="86">
        <v>48751</v>
      </c>
      <c r="L85" s="53">
        <f>IF(K86&lt;&gt;0,K86-K74,0)</f>
        <v>193</v>
      </c>
      <c r="M85" s="80">
        <f t="shared" si="41"/>
        <v>-71</v>
      </c>
      <c r="O85" s="28">
        <f t="shared" si="35"/>
        <v>42156</v>
      </c>
      <c r="P85" s="284"/>
      <c r="Q85" s="85">
        <v>38983</v>
      </c>
      <c r="R85" s="53">
        <f>IF(Q86&lt;&gt;0,Q86-Q74,0)</f>
        <v>3146</v>
      </c>
      <c r="S85" s="80">
        <f t="shared" si="42"/>
        <v>98</v>
      </c>
      <c r="V85" s="28">
        <f t="shared" si="36"/>
        <v>42156</v>
      </c>
      <c r="W85" s="86">
        <v>12097</v>
      </c>
      <c r="X85" s="53">
        <f>IF(W86&lt;&gt;0,W86-W74,0)</f>
        <v>1104</v>
      </c>
      <c r="Y85" s="74">
        <f t="shared" si="43"/>
        <v>79</v>
      </c>
      <c r="AA85" s="34">
        <f t="shared" si="37"/>
        <v>42156</v>
      </c>
      <c r="AB85" s="85">
        <v>35624</v>
      </c>
      <c r="AC85" s="53">
        <f>IF(AB86&lt;&gt;0,AB86-AB74,0)</f>
        <v>3758</v>
      </c>
      <c r="AD85" s="74">
        <f t="shared" si="44"/>
        <v>73</v>
      </c>
      <c r="AF85" s="34">
        <f t="shared" si="38"/>
        <v>42156</v>
      </c>
      <c r="AG85" s="85">
        <v>45215</v>
      </c>
      <c r="AH85" s="53">
        <f>IF(AG86&lt;&gt;0,AG86-AG74,0)</f>
        <v>686</v>
      </c>
      <c r="AI85" s="74">
        <f t="shared" si="45"/>
        <v>1</v>
      </c>
      <c r="AK85" s="28">
        <f t="shared" si="39"/>
        <v>42156</v>
      </c>
      <c r="AL85" s="85">
        <v>15391</v>
      </c>
      <c r="AM85" s="53">
        <f>IF(AL86&lt;&gt;0,AL86-AL74,0)</f>
        <v>3152</v>
      </c>
      <c r="AN85" s="74">
        <f t="shared" si="33"/>
        <v>2011</v>
      </c>
      <c r="AO85" s="216"/>
      <c r="AP85" s="216"/>
    </row>
    <row r="86" spans="3:51" x14ac:dyDescent="0.25">
      <c r="C86" s="28">
        <v>42186</v>
      </c>
      <c r="D86" s="28"/>
      <c r="E86" s="88">
        <v>137191</v>
      </c>
      <c r="F86" s="89"/>
      <c r="G86" s="90"/>
      <c r="I86" s="28">
        <f t="shared" si="34"/>
        <v>42186</v>
      </c>
      <c r="J86" s="28"/>
      <c r="K86" s="91">
        <v>48680</v>
      </c>
      <c r="L86" s="49"/>
      <c r="M86" s="92"/>
      <c r="O86" s="28">
        <f t="shared" si="35"/>
        <v>42186</v>
      </c>
      <c r="P86" s="284"/>
      <c r="Q86" s="88">
        <v>39081</v>
      </c>
      <c r="R86" s="49"/>
      <c r="S86" s="92"/>
      <c r="V86" s="28">
        <f t="shared" si="36"/>
        <v>42186</v>
      </c>
      <c r="W86" s="91">
        <v>12176</v>
      </c>
      <c r="X86" s="49"/>
      <c r="Y86" s="92"/>
      <c r="AA86" s="34">
        <f t="shared" si="37"/>
        <v>42186</v>
      </c>
      <c r="AB86" s="88">
        <v>35697</v>
      </c>
      <c r="AC86" s="49"/>
      <c r="AD86" s="92"/>
      <c r="AF86" s="34">
        <f t="shared" si="38"/>
        <v>42186</v>
      </c>
      <c r="AG86" s="88">
        <v>45216</v>
      </c>
      <c r="AH86" s="49"/>
      <c r="AI86" s="92"/>
      <c r="AK86" s="28">
        <f t="shared" si="39"/>
        <v>42186</v>
      </c>
      <c r="AL86" s="88">
        <v>17402</v>
      </c>
      <c r="AM86" s="49"/>
      <c r="AN86" s="92"/>
      <c r="AO86" s="216"/>
      <c r="AP86" s="216"/>
    </row>
    <row r="87" spans="3:51" x14ac:dyDescent="0.25">
      <c r="C87" s="52" t="s">
        <v>18</v>
      </c>
      <c r="D87" s="52"/>
      <c r="E87" s="54"/>
      <c r="F87" s="54"/>
      <c r="G87" s="54">
        <f>SUM(G74:G86)</f>
        <v>12211</v>
      </c>
      <c r="I87" s="28" t="str">
        <f t="shared" si="34"/>
        <v xml:space="preserve">  </v>
      </c>
      <c r="J87" s="28"/>
      <c r="K87" s="54"/>
      <c r="L87" s="54"/>
      <c r="M87" s="54">
        <f>SUM(M74:M86)</f>
        <v>193</v>
      </c>
      <c r="O87" s="28" t="str">
        <f t="shared" si="35"/>
        <v xml:space="preserve">  </v>
      </c>
      <c r="P87" s="284"/>
      <c r="Q87" s="54"/>
      <c r="R87" s="54"/>
      <c r="S87" s="54">
        <f>SUM(S74:S86)</f>
        <v>3146</v>
      </c>
      <c r="V87" s="28" t="str">
        <f t="shared" si="36"/>
        <v xml:space="preserve">  </v>
      </c>
      <c r="W87" s="54"/>
      <c r="X87" s="54"/>
      <c r="Y87" s="54">
        <f>SUM(Y74:Y86)</f>
        <v>1104</v>
      </c>
      <c r="AA87" s="34" t="str">
        <f t="shared" si="37"/>
        <v xml:space="preserve">  </v>
      </c>
      <c r="AB87" s="54"/>
      <c r="AC87" s="54"/>
      <c r="AD87" s="54">
        <f>SUM(AD74:AD86)</f>
        <v>3758</v>
      </c>
      <c r="AF87" s="34" t="str">
        <f t="shared" si="38"/>
        <v xml:space="preserve">  </v>
      </c>
      <c r="AG87" s="54"/>
      <c r="AH87" s="54"/>
      <c r="AI87" s="54">
        <f>SUM(AI74:AI86)</f>
        <v>686</v>
      </c>
      <c r="AK87" s="28" t="str">
        <f t="shared" si="39"/>
        <v xml:space="preserve">  </v>
      </c>
      <c r="AL87" s="54"/>
      <c r="AM87" s="54"/>
      <c r="AN87" s="54">
        <f>SUM(AN74:AN86)</f>
        <v>3152</v>
      </c>
      <c r="AO87" s="54"/>
      <c r="AP87" s="54"/>
    </row>
    <row r="88" spans="3:51" x14ac:dyDescent="0.25">
      <c r="C88" s="1" t="s">
        <v>18</v>
      </c>
      <c r="E88" s="96" t="s">
        <v>8</v>
      </c>
      <c r="F88" s="97" t="s">
        <v>1</v>
      </c>
      <c r="G88" s="98" t="s">
        <v>2</v>
      </c>
      <c r="I88" s="28" t="str">
        <f t="shared" si="34"/>
        <v xml:space="preserve">  </v>
      </c>
      <c r="J88" s="28"/>
      <c r="K88" s="96" t="str">
        <f>E88</f>
        <v>2015/2016</v>
      </c>
      <c r="L88" s="97" t="s">
        <v>1</v>
      </c>
      <c r="M88" s="98" t="s">
        <v>2</v>
      </c>
      <c r="O88" s="28" t="str">
        <f t="shared" si="35"/>
        <v xml:space="preserve">  </v>
      </c>
      <c r="P88" s="284"/>
      <c r="Q88" s="63" t="str">
        <f>E88</f>
        <v>2015/2016</v>
      </c>
      <c r="R88" s="64" t="s">
        <v>1</v>
      </c>
      <c r="S88" s="65" t="s">
        <v>2</v>
      </c>
      <c r="V88" s="28" t="str">
        <f t="shared" si="36"/>
        <v xml:space="preserve">  </v>
      </c>
      <c r="W88" s="96" t="str">
        <f>E88</f>
        <v>2015/2016</v>
      </c>
      <c r="X88" s="97" t="s">
        <v>1</v>
      </c>
      <c r="Y88" s="98" t="s">
        <v>2</v>
      </c>
      <c r="AA88" s="34" t="str">
        <f t="shared" si="37"/>
        <v xml:space="preserve">  </v>
      </c>
      <c r="AB88" s="63" t="str">
        <f>E88</f>
        <v>2015/2016</v>
      </c>
      <c r="AC88" s="64" t="s">
        <v>1</v>
      </c>
      <c r="AD88" s="65" t="s">
        <v>2</v>
      </c>
      <c r="AF88" s="34" t="str">
        <f t="shared" si="38"/>
        <v xml:space="preserve">  </v>
      </c>
      <c r="AG88" s="99" t="str">
        <f>E88</f>
        <v>2015/2016</v>
      </c>
      <c r="AH88" s="64" t="s">
        <v>1</v>
      </c>
      <c r="AI88" s="100" t="s">
        <v>2</v>
      </c>
      <c r="AK88" s="28" t="str">
        <f t="shared" si="39"/>
        <v xml:space="preserve">  </v>
      </c>
      <c r="AL88" s="63" t="str">
        <f>E88</f>
        <v>2015/2016</v>
      </c>
      <c r="AM88" s="64" t="s">
        <v>1</v>
      </c>
      <c r="AN88" s="65" t="s">
        <v>2</v>
      </c>
      <c r="AO88" s="215"/>
      <c r="AP88" s="215"/>
    </row>
    <row r="89" spans="3:51" x14ac:dyDescent="0.25">
      <c r="C89" s="28">
        <v>42186</v>
      </c>
      <c r="D89" s="28"/>
      <c r="E89" s="66">
        <f>E86</f>
        <v>137191</v>
      </c>
      <c r="F89" s="67">
        <f>IF(E90&lt;&gt;0,E90-E89,"")</f>
        <v>0</v>
      </c>
      <c r="G89" s="68">
        <f>IF(E90&lt;&gt;0,E90-E89,0)</f>
        <v>0</v>
      </c>
      <c r="I89" s="28">
        <f t="shared" si="34"/>
        <v>42186</v>
      </c>
      <c r="J89" s="28"/>
      <c r="K89" s="69">
        <f>K86</f>
        <v>48680</v>
      </c>
      <c r="L89" s="70">
        <f>IF(K90&lt;&gt;0,K90-K89,0)</f>
        <v>-125</v>
      </c>
      <c r="M89" s="68">
        <f>IF(K90&lt;&gt;0,K90-K89,0)</f>
        <v>-125</v>
      </c>
      <c r="O89" s="28">
        <f t="shared" si="35"/>
        <v>42186</v>
      </c>
      <c r="P89" s="284"/>
      <c r="Q89" s="71">
        <f>Q86</f>
        <v>39081</v>
      </c>
      <c r="R89" s="70">
        <f>IF(Q90&lt;&gt;0,Q90-Q89,0)</f>
        <v>155</v>
      </c>
      <c r="S89" s="68">
        <f>IF(Q90&lt;&gt;0,Q90-Q89,0)</f>
        <v>155</v>
      </c>
      <c r="V89" s="28">
        <f t="shared" si="36"/>
        <v>42186</v>
      </c>
      <c r="W89" s="69">
        <f>W86</f>
        <v>12176</v>
      </c>
      <c r="X89" s="70">
        <f>IF(W90&lt;&gt;0,W90-W89,0)</f>
        <v>76</v>
      </c>
      <c r="Y89" s="72">
        <f>IF(W90&lt;&gt;0,W90-W89,0)</f>
        <v>76</v>
      </c>
      <c r="AA89" s="34">
        <f t="shared" si="37"/>
        <v>42186</v>
      </c>
      <c r="AB89" s="71">
        <f>AB86</f>
        <v>35697</v>
      </c>
      <c r="AC89" s="70">
        <f>IF(AB90&lt;&gt;0,AB90-AB89,0)</f>
        <v>79</v>
      </c>
      <c r="AD89" s="72">
        <f>IF(AB90&lt;&gt;0,AB90-AB89,0)</f>
        <v>79</v>
      </c>
      <c r="AF89" s="34">
        <f t="shared" si="38"/>
        <v>42186</v>
      </c>
      <c r="AG89" s="73">
        <f>AG86</f>
        <v>45216</v>
      </c>
      <c r="AH89" s="70">
        <f>IF(AG90&lt;&gt;0,AG90-AG89,0)</f>
        <v>2</v>
      </c>
      <c r="AI89" s="74">
        <f>IF(AG90&lt;&gt;0,AG90-AG89,"")</f>
        <v>2</v>
      </c>
      <c r="AK89" s="28">
        <f t="shared" si="39"/>
        <v>42186</v>
      </c>
      <c r="AL89" s="103">
        <f>AL86</f>
        <v>17402</v>
      </c>
      <c r="AM89" s="70">
        <f>IF(AL90&lt;&gt;0,AL90-AL89,0)</f>
        <v>405</v>
      </c>
      <c r="AN89" s="72">
        <f>IF(AL90&lt;&gt;0,AL90-AL89,0)</f>
        <v>405</v>
      </c>
      <c r="AO89" s="216"/>
      <c r="AP89" s="216"/>
      <c r="AQ89" s="1"/>
      <c r="AR89" s="1"/>
      <c r="AS89" s="1"/>
      <c r="AT89" s="52"/>
      <c r="AW89" s="178">
        <v>15</v>
      </c>
      <c r="AX89" s="190"/>
      <c r="AY89" s="179">
        <f>AW89*65</f>
        <v>975</v>
      </c>
    </row>
    <row r="90" spans="3:51" x14ac:dyDescent="0.25">
      <c r="C90" s="28">
        <v>42217</v>
      </c>
      <c r="D90" s="28"/>
      <c r="E90" s="85">
        <v>137191</v>
      </c>
      <c r="F90" s="79">
        <f>IF(E91&lt;&gt;0,E91-E89,0)</f>
        <v>0</v>
      </c>
      <c r="G90" s="80">
        <f>IF(E91&lt;&gt;0,E91-E90,0)</f>
        <v>0</v>
      </c>
      <c r="I90" s="28">
        <f t="shared" si="34"/>
        <v>42217</v>
      </c>
      <c r="J90" s="28"/>
      <c r="K90" s="86">
        <v>48555</v>
      </c>
      <c r="L90" s="53">
        <f>IF(K91&lt;&gt;0,K91-K89,0)</f>
        <v>-140</v>
      </c>
      <c r="M90" s="80">
        <f>IF(K91&lt;&gt;0,K91-K90,0)</f>
        <v>-15</v>
      </c>
      <c r="O90" s="28">
        <f t="shared" si="35"/>
        <v>42217</v>
      </c>
      <c r="P90" s="284"/>
      <c r="Q90" s="85">
        <v>39236</v>
      </c>
      <c r="R90" s="53">
        <f>IF(Q91&lt;&gt;0,Q91-Q89,0)</f>
        <v>297</v>
      </c>
      <c r="S90" s="80">
        <f>IF(Q91&lt;&gt;0,Q91-Q90,0)</f>
        <v>142</v>
      </c>
      <c r="V90" s="28">
        <f t="shared" si="36"/>
        <v>42217</v>
      </c>
      <c r="W90" s="86">
        <v>12252</v>
      </c>
      <c r="X90" s="53">
        <f>IF(W91&lt;&gt;0,W91-W89,0)</f>
        <v>159</v>
      </c>
      <c r="Y90" s="74">
        <f>IF(W91&lt;&gt;0,W91-W90,0)</f>
        <v>83</v>
      </c>
      <c r="AA90" s="34">
        <f t="shared" si="37"/>
        <v>42217</v>
      </c>
      <c r="AB90" s="85">
        <v>35776</v>
      </c>
      <c r="AC90" s="53">
        <f>IF(AB91&lt;&gt;0,AB91-AB89,0)</f>
        <v>153</v>
      </c>
      <c r="AD90" s="74">
        <f>IF(AB91&lt;&gt;0,AB91-AB90,0)</f>
        <v>74</v>
      </c>
      <c r="AF90" s="34">
        <f t="shared" si="38"/>
        <v>42217</v>
      </c>
      <c r="AG90" s="85">
        <v>45218</v>
      </c>
      <c r="AH90" s="53">
        <f>IF(AG91&lt;&gt;0,AG91-AG89,0)</f>
        <v>4</v>
      </c>
      <c r="AI90" s="74">
        <f>IF(AG91&lt;&gt;0,AG91-AG90,"")</f>
        <v>2</v>
      </c>
      <c r="AK90" s="28">
        <f t="shared" si="39"/>
        <v>42217</v>
      </c>
      <c r="AL90" s="85">
        <v>17807</v>
      </c>
      <c r="AM90" s="53">
        <f>IF(AL91&lt;&gt;0,AL91-AL89,0)</f>
        <v>748</v>
      </c>
      <c r="AN90" s="74">
        <f>IF(AL91&lt;&gt;0,AL91-AL90,0)</f>
        <v>343</v>
      </c>
      <c r="AO90" s="216"/>
      <c r="AP90" s="216"/>
    </row>
    <row r="91" spans="3:51" x14ac:dyDescent="0.25">
      <c r="C91" s="28">
        <v>42248</v>
      </c>
      <c r="D91" s="28"/>
      <c r="E91" s="85">
        <v>137191</v>
      </c>
      <c r="F91" s="79">
        <f>IF(E94&lt;&gt;0,E94-E89,0)</f>
        <v>0</v>
      </c>
      <c r="G91" s="80">
        <f>IF(E94&lt;&gt;0,E94-E91,0)</f>
        <v>0</v>
      </c>
      <c r="I91" s="28">
        <f t="shared" si="34"/>
        <v>42248</v>
      </c>
      <c r="J91" s="28"/>
      <c r="K91" s="86">
        <v>48540</v>
      </c>
      <c r="L91" s="53">
        <f>IF(K94&lt;&gt;0,K94-K89,0)</f>
        <v>-92</v>
      </c>
      <c r="M91" s="80">
        <f>IF(K94&lt;&gt;0,K94-K91,0)</f>
        <v>48</v>
      </c>
      <c r="O91" s="28">
        <f t="shared" si="35"/>
        <v>42248</v>
      </c>
      <c r="P91" s="284"/>
      <c r="Q91" s="85">
        <v>39378</v>
      </c>
      <c r="R91" s="53">
        <f>IF(Q94&lt;&gt;0,Q94-Q89,0)</f>
        <v>496</v>
      </c>
      <c r="S91" s="80">
        <f>IF(Q94&lt;&gt;0,Q94-Q91,0)</f>
        <v>199</v>
      </c>
      <c r="V91" s="28">
        <f t="shared" si="36"/>
        <v>42248</v>
      </c>
      <c r="W91" s="86">
        <v>12335</v>
      </c>
      <c r="X91" s="53">
        <f>IF(W94&lt;&gt;0,W94-W89,0)</f>
        <v>242</v>
      </c>
      <c r="Y91" s="74">
        <f>IF(W94&lt;&gt;0,W94-W91,0)</f>
        <v>83</v>
      </c>
      <c r="AA91" s="34">
        <f t="shared" si="37"/>
        <v>42248</v>
      </c>
      <c r="AB91" s="85">
        <v>35850</v>
      </c>
      <c r="AC91" s="53">
        <f>IF(AB94&lt;&gt;0,AB94-AB89,0)</f>
        <v>234</v>
      </c>
      <c r="AD91" s="74">
        <f>IF(AB94&lt;&gt;0,AB94-AB91,0)</f>
        <v>81</v>
      </c>
      <c r="AF91" s="34">
        <f t="shared" si="38"/>
        <v>42248</v>
      </c>
      <c r="AG91" s="85">
        <v>45220</v>
      </c>
      <c r="AH91" s="53">
        <f>IF(AG94&lt;&gt;0,AG94-AG89,0)</f>
        <v>6</v>
      </c>
      <c r="AI91" s="74">
        <f>IF(AG94&lt;&gt;0,AG94-AG91,"")</f>
        <v>2</v>
      </c>
      <c r="AK91" s="28">
        <f t="shared" si="39"/>
        <v>42248</v>
      </c>
      <c r="AL91" s="85">
        <v>18150</v>
      </c>
      <c r="AM91" s="53">
        <f>IF(AL94&lt;&gt;0,AL94-AL89,0)</f>
        <v>1049</v>
      </c>
      <c r="AN91" s="74">
        <f>IF(AL94&lt;&gt;0,AL94-AL91,0)</f>
        <v>301</v>
      </c>
      <c r="AO91" s="216"/>
      <c r="AP91" s="216"/>
    </row>
    <row r="92" spans="3:51" ht="15.75" thickBot="1" x14ac:dyDescent="0.3">
      <c r="C92" s="76" t="s">
        <v>19</v>
      </c>
      <c r="D92" s="77">
        <v>42249</v>
      </c>
      <c r="E92" s="78">
        <v>137191</v>
      </c>
      <c r="F92" s="79"/>
      <c r="G92" s="80"/>
      <c r="I92" s="101" t="str">
        <f>C92</f>
        <v>ELECTRABEL</v>
      </c>
      <c r="J92" s="101"/>
      <c r="K92" s="81">
        <v>48594</v>
      </c>
      <c r="L92" s="53"/>
      <c r="M92" s="80"/>
      <c r="O92" s="101" t="str">
        <f>C92</f>
        <v>ELECTRABEL</v>
      </c>
      <c r="P92" s="288"/>
      <c r="Q92" s="82">
        <v>39382</v>
      </c>
      <c r="R92" s="53"/>
      <c r="S92" s="80"/>
      <c r="V92" s="101" t="str">
        <f>C92</f>
        <v>ELECTRABEL</v>
      </c>
      <c r="W92" s="81">
        <v>12345</v>
      </c>
      <c r="X92" s="53"/>
      <c r="Y92" s="74"/>
      <c r="AA92" s="77" t="str">
        <f>C92</f>
        <v>ELECTRABEL</v>
      </c>
      <c r="AB92" s="82">
        <v>35873</v>
      </c>
      <c r="AC92" s="53"/>
      <c r="AD92" s="74"/>
      <c r="AF92" s="77" t="str">
        <f>C92</f>
        <v>ELECTRABEL</v>
      </c>
      <c r="AG92" s="78">
        <v>45216</v>
      </c>
      <c r="AH92" s="53"/>
      <c r="AI92" s="74"/>
      <c r="AK92" s="28" t="str">
        <f>C92</f>
        <v>ELECTRABEL</v>
      </c>
      <c r="AL92" s="78">
        <v>18350</v>
      </c>
      <c r="AM92" s="53"/>
      <c r="AN92" s="74"/>
      <c r="AO92" s="216"/>
      <c r="AP92" s="216"/>
    </row>
    <row r="93" spans="3:51" ht="15.75" thickBot="1" x14ac:dyDescent="0.3">
      <c r="C93" s="76"/>
      <c r="D93" s="77"/>
      <c r="E93" s="83">
        <f>+E92-E69</f>
        <v>12211</v>
      </c>
      <c r="F93" s="79"/>
      <c r="G93" s="80"/>
      <c r="I93" s="101"/>
      <c r="J93" s="101"/>
      <c r="K93" s="83">
        <f>+K92-K69</f>
        <v>-267</v>
      </c>
      <c r="L93" s="53"/>
      <c r="M93" s="80"/>
      <c r="O93" s="101"/>
      <c r="P93" s="288"/>
      <c r="Q93" s="83">
        <f>+Q92-Q69</f>
        <v>3503</v>
      </c>
      <c r="R93" s="53"/>
      <c r="S93" s="80"/>
      <c r="V93" s="101"/>
      <c r="W93" s="83">
        <f>+W92-W69</f>
        <v>1300</v>
      </c>
      <c r="X93" s="53"/>
      <c r="Y93" s="74"/>
      <c r="AA93" s="77"/>
      <c r="AB93" s="83">
        <f>+AB92-AB69</f>
        <v>3954</v>
      </c>
      <c r="AC93" s="53"/>
      <c r="AD93" s="74"/>
      <c r="AF93" s="77"/>
      <c r="AG93" s="83">
        <f>+AG92-AG69</f>
        <v>686</v>
      </c>
      <c r="AH93" s="53"/>
      <c r="AI93" s="74"/>
      <c r="AK93" s="28"/>
      <c r="AL93" s="78"/>
      <c r="AM93" s="53"/>
      <c r="AN93" s="74"/>
      <c r="AO93" s="216"/>
      <c r="AP93" s="216"/>
    </row>
    <row r="94" spans="3:51" x14ac:dyDescent="0.25">
      <c r="C94" s="28">
        <v>42278</v>
      </c>
      <c r="D94" s="28"/>
      <c r="E94" s="85">
        <v>137191</v>
      </c>
      <c r="F94" s="79">
        <f>IF(E95&lt;&gt;0,E95-E92,0)</f>
        <v>692</v>
      </c>
      <c r="G94" s="80">
        <f t="shared" ref="G94:G102" si="46">IF(E95&lt;&gt;0,E95-E94,0)</f>
        <v>692</v>
      </c>
      <c r="I94" s="28">
        <f t="shared" si="34"/>
        <v>42278</v>
      </c>
      <c r="J94" s="28"/>
      <c r="K94" s="86">
        <v>48588</v>
      </c>
      <c r="L94" s="53">
        <f>IF(K95&lt;&gt;0,K95-K89,0)</f>
        <v>56</v>
      </c>
      <c r="M94" s="80">
        <f t="shared" ref="M94:M102" si="47">IF(K95&lt;&gt;0,K95-K94,0)</f>
        <v>148</v>
      </c>
      <c r="O94" s="28">
        <f t="shared" si="35"/>
        <v>42278</v>
      </c>
      <c r="P94" s="284"/>
      <c r="Q94" s="85">
        <v>39577</v>
      </c>
      <c r="R94" s="53">
        <f>IF(Q95&lt;&gt;0,Q95-Q89,0)</f>
        <v>683</v>
      </c>
      <c r="S94" s="80">
        <f t="shared" ref="S94:S102" si="48">IF(Q95&lt;&gt;0,Q95-Q94,0)</f>
        <v>187</v>
      </c>
      <c r="V94" s="28">
        <f t="shared" si="36"/>
        <v>42278</v>
      </c>
      <c r="W94" s="86">
        <v>12418</v>
      </c>
      <c r="X94" s="53">
        <f>IF(W95&lt;&gt;0,W95-W89,0)</f>
        <v>325</v>
      </c>
      <c r="Y94" s="74">
        <f t="shared" ref="Y94:Y102" si="49">IF(W95&lt;&gt;0,W95-W94,0)</f>
        <v>83</v>
      </c>
      <c r="AA94" s="34">
        <f t="shared" si="37"/>
        <v>42278</v>
      </c>
      <c r="AB94" s="85">
        <v>35931</v>
      </c>
      <c r="AC94" s="53">
        <f>IF(AB95&lt;&gt;0,AB95-AB89,0)</f>
        <v>470</v>
      </c>
      <c r="AD94" s="74">
        <f t="shared" ref="AD94:AD102" si="50">IF(AB95&lt;&gt;0,AB95-AB94,0)</f>
        <v>236</v>
      </c>
      <c r="AF94" s="34">
        <f t="shared" si="38"/>
        <v>42278</v>
      </c>
      <c r="AG94" s="85">
        <v>45222</v>
      </c>
      <c r="AH94" s="53">
        <f>IF(AG95&lt;&gt;0,AG95-AG89,0)</f>
        <v>7</v>
      </c>
      <c r="AI94" s="74">
        <f t="shared" ref="AI94:AI102" si="51">IF(AG95&lt;&gt;0,AG95-AG94,"")</f>
        <v>1</v>
      </c>
      <c r="AK94" s="28">
        <f t="shared" si="39"/>
        <v>42278</v>
      </c>
      <c r="AL94" s="85">
        <v>18451</v>
      </c>
      <c r="AM94" s="53">
        <f>IF(AL95&lt;&gt;0,AL95-AL89,0)</f>
        <v>1198</v>
      </c>
      <c r="AN94" s="74">
        <f t="shared" ref="AN94:AN102" si="52">IF(AL95&lt;&gt;0,AL95-AL94,0)</f>
        <v>149</v>
      </c>
      <c r="AO94" s="216"/>
      <c r="AP94" s="216"/>
    </row>
    <row r="95" spans="3:51" x14ac:dyDescent="0.25">
      <c r="C95" s="28">
        <v>42309</v>
      </c>
      <c r="D95" s="28"/>
      <c r="E95" s="85">
        <v>137883</v>
      </c>
      <c r="F95" s="79">
        <f>IF(E96&lt;&gt;0,E96-E89,0)</f>
        <v>1674</v>
      </c>
      <c r="G95" s="80">
        <f t="shared" si="46"/>
        <v>982</v>
      </c>
      <c r="I95" s="28">
        <f t="shared" si="34"/>
        <v>42309</v>
      </c>
      <c r="J95" s="28"/>
      <c r="K95" s="86">
        <v>48736</v>
      </c>
      <c r="L95" s="53">
        <f>IF(K96&lt;&gt;0,K96-K89,0)</f>
        <v>268</v>
      </c>
      <c r="M95" s="80">
        <f t="shared" si="47"/>
        <v>212</v>
      </c>
      <c r="O95" s="28">
        <f t="shared" si="35"/>
        <v>42309</v>
      </c>
      <c r="P95" s="284"/>
      <c r="Q95" s="85">
        <v>39764</v>
      </c>
      <c r="R95" s="53">
        <f>IF(Q96&lt;&gt;0,Q96-Q89,0)</f>
        <v>879</v>
      </c>
      <c r="S95" s="80">
        <f t="shared" si="48"/>
        <v>196</v>
      </c>
      <c r="V95" s="28">
        <f t="shared" si="36"/>
        <v>42309</v>
      </c>
      <c r="W95" s="86">
        <v>12501</v>
      </c>
      <c r="X95" s="53">
        <f>IF(W96&lt;&gt;0,W96-W89,0)</f>
        <v>404</v>
      </c>
      <c r="Y95" s="74">
        <f t="shared" si="49"/>
        <v>79</v>
      </c>
      <c r="AA95" s="34">
        <f t="shared" si="37"/>
        <v>42309</v>
      </c>
      <c r="AB95" s="85">
        <v>36167</v>
      </c>
      <c r="AC95" s="53">
        <f>IF(AB96&lt;&gt;0,AB96-AB89,0)</f>
        <v>793</v>
      </c>
      <c r="AD95" s="74">
        <f t="shared" si="50"/>
        <v>323</v>
      </c>
      <c r="AF95" s="34">
        <f t="shared" si="38"/>
        <v>42309</v>
      </c>
      <c r="AG95" s="85">
        <v>45223</v>
      </c>
      <c r="AH95" s="53">
        <f>IF(AG96&lt;&gt;0,AG96-AG89,0)</f>
        <v>20</v>
      </c>
      <c r="AI95" s="74">
        <f t="shared" si="51"/>
        <v>13</v>
      </c>
      <c r="AK95" s="28">
        <f t="shared" si="39"/>
        <v>42309</v>
      </c>
      <c r="AL95" s="85">
        <v>18600</v>
      </c>
      <c r="AM95" s="53">
        <f>IF(AL96&lt;&gt;0,AL96-AL89,0)</f>
        <v>1314</v>
      </c>
      <c r="AN95" s="74">
        <f t="shared" si="52"/>
        <v>116</v>
      </c>
      <c r="AO95" s="216"/>
      <c r="AP95" s="216"/>
    </row>
    <row r="96" spans="3:51" x14ac:dyDescent="0.25">
      <c r="C96" s="28">
        <v>42339</v>
      </c>
      <c r="D96" s="28"/>
      <c r="E96" s="85">
        <v>138865</v>
      </c>
      <c r="F96" s="79">
        <f>IF(E97&lt;&gt;0,E97-E89,0)</f>
        <v>3030</v>
      </c>
      <c r="G96" s="80">
        <f t="shared" si="46"/>
        <v>1356</v>
      </c>
      <c r="I96" s="28">
        <f t="shared" si="34"/>
        <v>42339</v>
      </c>
      <c r="J96" s="28"/>
      <c r="K96" s="86">
        <v>48948</v>
      </c>
      <c r="L96" s="53">
        <f>IF(K97&lt;&gt;0,K97-K89,0)</f>
        <v>477</v>
      </c>
      <c r="M96" s="80">
        <f t="shared" si="47"/>
        <v>209</v>
      </c>
      <c r="O96" s="28">
        <f t="shared" si="35"/>
        <v>42339</v>
      </c>
      <c r="P96" s="284"/>
      <c r="Q96" s="85">
        <v>39960</v>
      </c>
      <c r="R96" s="53">
        <f>IF(Q97&lt;&gt;0,Q97-Q89,0)</f>
        <v>1171</v>
      </c>
      <c r="S96" s="80">
        <f t="shared" si="48"/>
        <v>292</v>
      </c>
      <c r="V96" s="28">
        <f t="shared" si="36"/>
        <v>42339</v>
      </c>
      <c r="W96" s="86">
        <v>12580</v>
      </c>
      <c r="X96" s="53">
        <f>IF(W97&lt;&gt;0,W97-W89,0)</f>
        <v>486</v>
      </c>
      <c r="Y96" s="74">
        <f t="shared" si="49"/>
        <v>82</v>
      </c>
      <c r="AA96" s="34">
        <f t="shared" si="37"/>
        <v>42339</v>
      </c>
      <c r="AB96" s="85">
        <v>36490</v>
      </c>
      <c r="AC96" s="53">
        <f>IF(AB97&lt;&gt;0,AB97-AB89,0)</f>
        <v>1172</v>
      </c>
      <c r="AD96" s="74">
        <f t="shared" si="50"/>
        <v>379</v>
      </c>
      <c r="AF96" s="34">
        <f t="shared" si="38"/>
        <v>42339</v>
      </c>
      <c r="AG96" s="85">
        <v>45236</v>
      </c>
      <c r="AH96" s="53">
        <f>IF(AG97&lt;&gt;0,AG97-AG89,0)</f>
        <v>21</v>
      </c>
      <c r="AI96" s="74">
        <f t="shared" si="51"/>
        <v>1</v>
      </c>
      <c r="AK96" s="28">
        <f t="shared" si="39"/>
        <v>42339</v>
      </c>
      <c r="AL96" s="85">
        <v>18716</v>
      </c>
      <c r="AM96" s="53">
        <f>IF(AL97&lt;&gt;0,AL97-AL89,0)</f>
        <v>1400</v>
      </c>
      <c r="AN96" s="74">
        <f t="shared" si="52"/>
        <v>86</v>
      </c>
      <c r="AO96" s="216"/>
      <c r="AP96" s="216"/>
    </row>
    <row r="97" spans="3:51" x14ac:dyDescent="0.25">
      <c r="C97" s="28">
        <v>42370</v>
      </c>
      <c r="D97" s="28"/>
      <c r="E97" s="85">
        <v>140221</v>
      </c>
      <c r="F97" s="79">
        <f>IF(E98&lt;&gt;0,E98-E89,0)</f>
        <v>5344</v>
      </c>
      <c r="G97" s="80">
        <f t="shared" si="46"/>
        <v>2314</v>
      </c>
      <c r="I97" s="28">
        <f t="shared" si="34"/>
        <v>42370</v>
      </c>
      <c r="J97" s="28"/>
      <c r="K97" s="86">
        <v>49157</v>
      </c>
      <c r="L97" s="53">
        <f>IF(K98&lt;&gt;0,K98-K89,0)</f>
        <v>533</v>
      </c>
      <c r="M97" s="80">
        <f t="shared" si="47"/>
        <v>56</v>
      </c>
      <c r="O97" s="28">
        <f t="shared" si="35"/>
        <v>42370</v>
      </c>
      <c r="P97" s="284"/>
      <c r="Q97" s="85">
        <v>40252</v>
      </c>
      <c r="R97" s="53">
        <f>IF(Q98&lt;&gt;0,Q98-Q89,0)</f>
        <v>1538</v>
      </c>
      <c r="S97" s="80">
        <f t="shared" si="48"/>
        <v>367</v>
      </c>
      <c r="V97" s="28">
        <f t="shared" si="36"/>
        <v>42370</v>
      </c>
      <c r="W97" s="86">
        <v>12662</v>
      </c>
      <c r="X97" s="53">
        <f>IF(W98&lt;&gt;0,W98-W89,0)</f>
        <v>616</v>
      </c>
      <c r="Y97" s="74">
        <f t="shared" si="49"/>
        <v>130</v>
      </c>
      <c r="AA97" s="34">
        <f t="shared" si="37"/>
        <v>42370</v>
      </c>
      <c r="AB97" s="85">
        <v>36869</v>
      </c>
      <c r="AC97" s="53">
        <f>IF(AB98&lt;&gt;0,AB98-AB89,0)</f>
        <v>1854</v>
      </c>
      <c r="AD97" s="74">
        <f t="shared" si="50"/>
        <v>682</v>
      </c>
      <c r="AF97" s="34">
        <f t="shared" si="38"/>
        <v>42370</v>
      </c>
      <c r="AG97" s="85">
        <v>45237</v>
      </c>
      <c r="AH97" s="53">
        <f>IF(AG98&lt;&gt;0,AG98-AG89,0)</f>
        <v>179</v>
      </c>
      <c r="AI97" s="74">
        <f t="shared" si="51"/>
        <v>158</v>
      </c>
      <c r="AK97" s="28">
        <f t="shared" si="39"/>
        <v>42370</v>
      </c>
      <c r="AL97" s="85">
        <v>18802</v>
      </c>
      <c r="AM97" s="53">
        <f>IF(AL98&lt;&gt;0,AL98-AL89,0)</f>
        <v>1493</v>
      </c>
      <c r="AN97" s="74">
        <f t="shared" si="52"/>
        <v>93</v>
      </c>
      <c r="AO97" s="216"/>
      <c r="AP97" s="216"/>
    </row>
    <row r="98" spans="3:51" x14ac:dyDescent="0.25">
      <c r="C98" s="28">
        <v>42401</v>
      </c>
      <c r="D98" s="28"/>
      <c r="E98" s="85">
        <v>142535</v>
      </c>
      <c r="F98" s="79">
        <f>IF(E99&lt;&gt;0,E99-E89,0)</f>
        <v>7368</v>
      </c>
      <c r="G98" s="80">
        <f t="shared" si="46"/>
        <v>2024</v>
      </c>
      <c r="I98" s="28">
        <f t="shared" si="34"/>
        <v>42401</v>
      </c>
      <c r="J98" s="28"/>
      <c r="K98" s="86">
        <v>49213</v>
      </c>
      <c r="L98" s="53">
        <f>IF(K99&lt;&gt;0,K99-K89,0)</f>
        <v>574</v>
      </c>
      <c r="M98" s="80">
        <f t="shared" si="47"/>
        <v>41</v>
      </c>
      <c r="O98" s="28">
        <f t="shared" si="35"/>
        <v>42401</v>
      </c>
      <c r="P98" s="284"/>
      <c r="Q98" s="85">
        <v>40619</v>
      </c>
      <c r="R98" s="53">
        <f>IF(Q99&lt;&gt;0,Q99-Q89,0)</f>
        <v>1844</v>
      </c>
      <c r="S98" s="80">
        <f t="shared" si="48"/>
        <v>306</v>
      </c>
      <c r="V98" s="28">
        <f t="shared" si="36"/>
        <v>42401</v>
      </c>
      <c r="W98" s="86">
        <v>12792</v>
      </c>
      <c r="X98" s="53">
        <f>IF(W99&lt;&gt;0,W99-W89,0)</f>
        <v>714</v>
      </c>
      <c r="Y98" s="74">
        <f t="shared" si="49"/>
        <v>98</v>
      </c>
      <c r="AA98" s="34">
        <f t="shared" si="37"/>
        <v>42401</v>
      </c>
      <c r="AB98" s="85">
        <v>37551</v>
      </c>
      <c r="AC98" s="53">
        <f>IF(AB99&lt;&gt;0,AB99-AB89,0)</f>
        <v>2498</v>
      </c>
      <c r="AD98" s="74">
        <f t="shared" si="50"/>
        <v>644</v>
      </c>
      <c r="AF98" s="34">
        <f t="shared" si="38"/>
        <v>42401</v>
      </c>
      <c r="AG98" s="85">
        <v>45395</v>
      </c>
      <c r="AH98" s="53">
        <f>IF(AG99&lt;&gt;0,AG99-AG89,0)</f>
        <v>305</v>
      </c>
      <c r="AI98" s="74">
        <f t="shared" si="51"/>
        <v>126</v>
      </c>
      <c r="AK98" s="28">
        <f t="shared" si="39"/>
        <v>42401</v>
      </c>
      <c r="AL98" s="85">
        <v>18895</v>
      </c>
      <c r="AM98" s="53">
        <f>IF(AL99&lt;&gt;0,AL99-AL89,0)</f>
        <v>1638</v>
      </c>
      <c r="AN98" s="74">
        <f t="shared" si="52"/>
        <v>145</v>
      </c>
      <c r="AO98" s="216"/>
      <c r="AP98" s="216"/>
    </row>
    <row r="99" spans="3:51" x14ac:dyDescent="0.25">
      <c r="C99" s="28">
        <v>42430</v>
      </c>
      <c r="D99" s="28"/>
      <c r="E99" s="85">
        <v>144559</v>
      </c>
      <c r="F99" s="79">
        <f>IF(E100&lt;&gt;0,E100-E89,0)</f>
        <v>9219</v>
      </c>
      <c r="G99" s="80">
        <f t="shared" si="46"/>
        <v>1851</v>
      </c>
      <c r="I99" s="28">
        <f t="shared" si="34"/>
        <v>42430</v>
      </c>
      <c r="J99" s="28"/>
      <c r="K99" s="86">
        <v>49254</v>
      </c>
      <c r="L99" s="53">
        <f>IF(K100&lt;&gt;0,K100-K89,0)</f>
        <v>539</v>
      </c>
      <c r="M99" s="80">
        <f t="shared" si="47"/>
        <v>-35</v>
      </c>
      <c r="O99" s="28">
        <f t="shared" si="35"/>
        <v>42430</v>
      </c>
      <c r="P99" s="284"/>
      <c r="Q99" s="85">
        <v>40925</v>
      </c>
      <c r="R99" s="53">
        <f>IF(Q100&lt;&gt;0,Q100-Q89,0)</f>
        <v>2158</v>
      </c>
      <c r="S99" s="80">
        <f t="shared" si="48"/>
        <v>314</v>
      </c>
      <c r="V99" s="28">
        <f t="shared" si="36"/>
        <v>42430</v>
      </c>
      <c r="W99" s="86">
        <v>12890</v>
      </c>
      <c r="X99" s="53">
        <f>IF(W100&lt;&gt;0,W100-W89,0)</f>
        <v>819</v>
      </c>
      <c r="Y99" s="74">
        <f t="shared" si="49"/>
        <v>105</v>
      </c>
      <c r="AA99" s="34">
        <f t="shared" si="37"/>
        <v>42430</v>
      </c>
      <c r="AB99" s="85">
        <v>38195</v>
      </c>
      <c r="AC99" s="53">
        <f>IF(AB100&lt;&gt;0,AB100-AB89,0)</f>
        <v>3032</v>
      </c>
      <c r="AD99" s="74">
        <f t="shared" si="50"/>
        <v>534</v>
      </c>
      <c r="AF99" s="34">
        <f t="shared" si="38"/>
        <v>42430</v>
      </c>
      <c r="AG99" s="85">
        <v>45521</v>
      </c>
      <c r="AH99" s="53">
        <f>IF(AG100&lt;&gt;0,AG100-AG89,0)</f>
        <v>370</v>
      </c>
      <c r="AI99" s="74">
        <f t="shared" si="51"/>
        <v>65</v>
      </c>
      <c r="AK99" s="28">
        <f t="shared" si="39"/>
        <v>42430</v>
      </c>
      <c r="AL99" s="85">
        <v>19040</v>
      </c>
      <c r="AM99" s="53">
        <f>IF(AL100&lt;&gt;0,AL100-AL89,0)</f>
        <v>1898</v>
      </c>
      <c r="AN99" s="74">
        <f t="shared" si="52"/>
        <v>260</v>
      </c>
      <c r="AO99" s="216"/>
      <c r="AP99" s="216"/>
    </row>
    <row r="100" spans="3:51" x14ac:dyDescent="0.25">
      <c r="C100" s="28">
        <v>42461</v>
      </c>
      <c r="D100" s="28"/>
      <c r="E100" s="85">
        <v>146410</v>
      </c>
      <c r="F100" s="79">
        <f>IF(E101&lt;&gt;0,E101-E89,0)</f>
        <v>9700</v>
      </c>
      <c r="G100" s="80">
        <f t="shared" si="46"/>
        <v>481</v>
      </c>
      <c r="I100" s="28">
        <f t="shared" si="34"/>
        <v>42461</v>
      </c>
      <c r="J100" s="28"/>
      <c r="K100" s="86">
        <v>49219</v>
      </c>
      <c r="L100" s="53">
        <f>IF(K101&lt;&gt;0,K101-K89,0)</f>
        <v>451</v>
      </c>
      <c r="M100" s="80">
        <f t="shared" si="47"/>
        <v>-88</v>
      </c>
      <c r="O100" s="28">
        <f t="shared" si="35"/>
        <v>42461</v>
      </c>
      <c r="P100" s="284"/>
      <c r="Q100" s="85">
        <v>41239</v>
      </c>
      <c r="R100" s="53">
        <f>IF(Q101&lt;&gt;0,Q101-Q89,0)</f>
        <v>2391</v>
      </c>
      <c r="S100" s="80">
        <f t="shared" si="48"/>
        <v>233</v>
      </c>
      <c r="V100" s="28">
        <f t="shared" si="36"/>
        <v>42461</v>
      </c>
      <c r="W100" s="86">
        <v>12995</v>
      </c>
      <c r="X100" s="53">
        <f>IF(W101&lt;&gt;0,W101-W89,0)</f>
        <v>907</v>
      </c>
      <c r="Y100" s="74">
        <f t="shared" si="49"/>
        <v>88</v>
      </c>
      <c r="AA100" s="34">
        <f t="shared" si="37"/>
        <v>42461</v>
      </c>
      <c r="AB100" s="85">
        <v>38729</v>
      </c>
      <c r="AC100" s="53">
        <f>IF(AB101&lt;&gt;0,AB101-AB89,0)</f>
        <v>3284</v>
      </c>
      <c r="AD100" s="74">
        <f t="shared" si="50"/>
        <v>252</v>
      </c>
      <c r="AF100" s="34">
        <f t="shared" si="38"/>
        <v>42461</v>
      </c>
      <c r="AG100" s="85">
        <v>45586</v>
      </c>
      <c r="AH100" s="53">
        <f>IF(AG101&lt;&gt;0,AG101-AG89,0)</f>
        <v>373</v>
      </c>
      <c r="AI100" s="74">
        <f t="shared" si="51"/>
        <v>3</v>
      </c>
      <c r="AK100" s="28">
        <f t="shared" si="39"/>
        <v>42461</v>
      </c>
      <c r="AL100" s="85">
        <v>19300</v>
      </c>
      <c r="AM100" s="53">
        <f>IF(AL101&lt;&gt;0,AL101-AL89,0)</f>
        <v>2261</v>
      </c>
      <c r="AN100" s="74">
        <f t="shared" si="52"/>
        <v>363</v>
      </c>
      <c r="AO100" s="216"/>
      <c r="AP100" s="216"/>
    </row>
    <row r="101" spans="3:51" x14ac:dyDescent="0.25">
      <c r="C101" s="28">
        <v>42491</v>
      </c>
      <c r="D101" s="28"/>
      <c r="E101" s="85">
        <v>146891</v>
      </c>
      <c r="F101" s="79">
        <f>IF(E102&lt;&gt;0,E102-E89,0)</f>
        <v>9775</v>
      </c>
      <c r="G101" s="80">
        <f t="shared" si="46"/>
        <v>75</v>
      </c>
      <c r="I101" s="28">
        <f t="shared" si="34"/>
        <v>42491</v>
      </c>
      <c r="J101" s="28"/>
      <c r="K101" s="86">
        <v>49131</v>
      </c>
      <c r="L101" s="53">
        <f>IF(K102&lt;&gt;0,K102-K89,0)</f>
        <v>352</v>
      </c>
      <c r="M101" s="80">
        <f t="shared" si="47"/>
        <v>-99</v>
      </c>
      <c r="O101" s="28">
        <f t="shared" si="35"/>
        <v>42491</v>
      </c>
      <c r="P101" s="284"/>
      <c r="Q101" s="85">
        <v>41472</v>
      </c>
      <c r="R101" s="53">
        <f>IF(Q102&lt;&gt;0,Q102-Q89,0)</f>
        <v>2631</v>
      </c>
      <c r="S101" s="80">
        <f t="shared" si="48"/>
        <v>240</v>
      </c>
      <c r="V101" s="28">
        <f t="shared" si="36"/>
        <v>42491</v>
      </c>
      <c r="W101" s="86">
        <v>13083</v>
      </c>
      <c r="X101" s="53">
        <f>IF(W102&lt;&gt;0,W102-W89,0)</f>
        <v>963</v>
      </c>
      <c r="Y101" s="74">
        <f t="shared" si="49"/>
        <v>56</v>
      </c>
      <c r="AA101" s="34">
        <f t="shared" si="37"/>
        <v>42491</v>
      </c>
      <c r="AB101" s="85">
        <v>38981</v>
      </c>
      <c r="AC101" s="53">
        <f>IF(AB102&lt;&gt;0,AB102-AB89,0)</f>
        <v>3381</v>
      </c>
      <c r="AD101" s="74">
        <f t="shared" si="50"/>
        <v>97</v>
      </c>
      <c r="AF101" s="34">
        <f t="shared" si="38"/>
        <v>42491</v>
      </c>
      <c r="AG101" s="85">
        <v>45589</v>
      </c>
      <c r="AH101" s="53">
        <f>IF(AG102&lt;&gt;0,AG102-AG89,0)</f>
        <v>374</v>
      </c>
      <c r="AI101" s="74">
        <f t="shared" si="51"/>
        <v>1</v>
      </c>
      <c r="AK101" s="28">
        <f t="shared" si="39"/>
        <v>42491</v>
      </c>
      <c r="AL101" s="85">
        <v>19663</v>
      </c>
      <c r="AM101" s="53">
        <f>IF(AL102&lt;&gt;0,AL102-AL89,0)</f>
        <v>2498</v>
      </c>
      <c r="AN101" s="74">
        <f t="shared" si="52"/>
        <v>237</v>
      </c>
      <c r="AO101" s="216"/>
      <c r="AP101" s="216"/>
    </row>
    <row r="102" spans="3:51" x14ac:dyDescent="0.25">
      <c r="C102" s="28">
        <v>42522</v>
      </c>
      <c r="D102" s="28"/>
      <c r="E102" s="85">
        <v>146966</v>
      </c>
      <c r="F102" s="79">
        <f>IF(E103&lt;&gt;0,E103-E89,0)</f>
        <v>9775</v>
      </c>
      <c r="G102" s="80">
        <f t="shared" si="46"/>
        <v>0</v>
      </c>
      <c r="I102" s="28">
        <f t="shared" si="34"/>
        <v>42522</v>
      </c>
      <c r="J102" s="28"/>
      <c r="K102" s="86">
        <v>49032</v>
      </c>
      <c r="L102" s="53">
        <f>IF(K103&lt;&gt;0,K103-K89,0)</f>
        <v>250</v>
      </c>
      <c r="M102" s="80">
        <f t="shared" si="47"/>
        <v>-102</v>
      </c>
      <c r="O102" s="28">
        <f t="shared" si="35"/>
        <v>42522</v>
      </c>
      <c r="P102" s="284"/>
      <c r="Q102" s="85">
        <v>41712</v>
      </c>
      <c r="R102" s="53">
        <f>IF(Q103&lt;&gt;0,Q103-Q89,0)</f>
        <v>2914</v>
      </c>
      <c r="S102" s="80">
        <f t="shared" si="48"/>
        <v>283</v>
      </c>
      <c r="V102" s="28">
        <f t="shared" si="36"/>
        <v>42522</v>
      </c>
      <c r="W102" s="86">
        <v>13139</v>
      </c>
      <c r="X102" s="53">
        <f>IF(W103&lt;&gt;0,W103-W89,0)</f>
        <v>1027</v>
      </c>
      <c r="Y102" s="74">
        <f t="shared" si="49"/>
        <v>64</v>
      </c>
      <c r="AA102" s="34">
        <f t="shared" si="37"/>
        <v>42522</v>
      </c>
      <c r="AB102" s="85">
        <v>39078</v>
      </c>
      <c r="AC102" s="53">
        <f>IF(AB103&lt;&gt;0,AB103-AB89,0)</f>
        <v>3433</v>
      </c>
      <c r="AD102" s="74">
        <f t="shared" si="50"/>
        <v>52</v>
      </c>
      <c r="AF102" s="34">
        <f t="shared" si="38"/>
        <v>42522</v>
      </c>
      <c r="AG102" s="85">
        <v>45590</v>
      </c>
      <c r="AH102" s="53">
        <f>IF(AG103&lt;&gt;0,AG103-AG89,0)</f>
        <v>375</v>
      </c>
      <c r="AI102" s="74">
        <f t="shared" si="51"/>
        <v>1</v>
      </c>
      <c r="AK102" s="28">
        <f t="shared" si="39"/>
        <v>42522</v>
      </c>
      <c r="AL102" s="85">
        <v>19900</v>
      </c>
      <c r="AM102" s="53">
        <f>IF(AL103&lt;&gt;0,AL103-AL89,0)</f>
        <v>2798</v>
      </c>
      <c r="AN102" s="74">
        <f t="shared" si="52"/>
        <v>300</v>
      </c>
      <c r="AO102" s="216"/>
      <c r="AP102" s="216"/>
    </row>
    <row r="103" spans="3:51" x14ac:dyDescent="0.25">
      <c r="C103" s="28">
        <v>42552</v>
      </c>
      <c r="D103" s="28"/>
      <c r="E103" s="88">
        <v>146966</v>
      </c>
      <c r="F103" s="89"/>
      <c r="G103" s="90"/>
      <c r="I103" s="28">
        <f t="shared" si="34"/>
        <v>42552</v>
      </c>
      <c r="J103" s="28"/>
      <c r="K103" s="91">
        <v>48930</v>
      </c>
      <c r="L103" s="49"/>
      <c r="M103" s="92"/>
      <c r="O103" s="28">
        <f t="shared" si="35"/>
        <v>42552</v>
      </c>
      <c r="P103" s="284"/>
      <c r="Q103" s="88">
        <v>41995</v>
      </c>
      <c r="R103" s="49"/>
      <c r="S103" s="92"/>
      <c r="V103" s="28">
        <f t="shared" si="36"/>
        <v>42552</v>
      </c>
      <c r="W103" s="91">
        <v>13203</v>
      </c>
      <c r="X103" s="49"/>
      <c r="Y103" s="92"/>
      <c r="AA103" s="34">
        <f t="shared" si="37"/>
        <v>42552</v>
      </c>
      <c r="AB103" s="88">
        <v>39130</v>
      </c>
      <c r="AC103" s="49"/>
      <c r="AD103" s="92"/>
      <c r="AF103" s="34">
        <f t="shared" si="38"/>
        <v>42552</v>
      </c>
      <c r="AG103" s="88">
        <v>45591</v>
      </c>
      <c r="AH103" s="49"/>
      <c r="AI103" s="92"/>
      <c r="AK103" s="28">
        <f t="shared" si="39"/>
        <v>42552</v>
      </c>
      <c r="AL103" s="88">
        <v>20200</v>
      </c>
      <c r="AM103" s="49"/>
      <c r="AN103" s="92"/>
      <c r="AO103" s="216"/>
      <c r="AP103" s="216"/>
    </row>
    <row r="104" spans="3:51" x14ac:dyDescent="0.25">
      <c r="C104" s="52" t="s">
        <v>18</v>
      </c>
      <c r="D104" s="52"/>
      <c r="E104" s="54"/>
      <c r="F104" s="54"/>
      <c r="G104" s="54">
        <f>SUM(G89:G103)</f>
        <v>9775</v>
      </c>
      <c r="I104" s="28" t="str">
        <f t="shared" si="34"/>
        <v xml:space="preserve">  </v>
      </c>
      <c r="J104" s="28"/>
      <c r="K104" s="54"/>
      <c r="L104" s="54"/>
      <c r="M104" s="54">
        <f>SUM(M89:M103)</f>
        <v>250</v>
      </c>
      <c r="O104" s="28" t="str">
        <f t="shared" si="35"/>
        <v xml:space="preserve">  </v>
      </c>
      <c r="P104" s="284"/>
      <c r="Q104" s="54"/>
      <c r="R104" s="54"/>
      <c r="S104" s="54">
        <f>SUM(S89:S103)</f>
        <v>2914</v>
      </c>
      <c r="V104" s="28" t="str">
        <f t="shared" si="36"/>
        <v xml:space="preserve">  </v>
      </c>
      <c r="W104" s="54"/>
      <c r="X104" s="54"/>
      <c r="Y104" s="54">
        <f>SUM(Y89:Y103)</f>
        <v>1027</v>
      </c>
      <c r="AA104" s="34" t="str">
        <f t="shared" si="37"/>
        <v xml:space="preserve">  </v>
      </c>
      <c r="AB104" s="54"/>
      <c r="AC104" s="54"/>
      <c r="AD104" s="54">
        <f>SUM(AD89:AD103)</f>
        <v>3433</v>
      </c>
      <c r="AF104" s="34" t="str">
        <f t="shared" si="38"/>
        <v xml:space="preserve">  </v>
      </c>
      <c r="AG104" s="102"/>
      <c r="AH104" s="102"/>
      <c r="AI104" s="54">
        <f>SUM(AI89:AI103)</f>
        <v>375</v>
      </c>
      <c r="AK104" s="28" t="str">
        <f t="shared" si="39"/>
        <v xml:space="preserve">  </v>
      </c>
      <c r="AL104" s="54"/>
      <c r="AM104" s="54"/>
      <c r="AN104" s="54">
        <f>SUM(AN89:AN103)</f>
        <v>2798</v>
      </c>
      <c r="AO104" s="54"/>
      <c r="AP104" s="54"/>
    </row>
    <row r="105" spans="3:51" x14ac:dyDescent="0.25">
      <c r="C105" s="1" t="s">
        <v>18</v>
      </c>
      <c r="E105" s="96" t="s">
        <v>20</v>
      </c>
      <c r="F105" s="97" t="s">
        <v>1</v>
      </c>
      <c r="G105" s="98" t="s">
        <v>2</v>
      </c>
      <c r="I105" s="28" t="str">
        <f>C105</f>
        <v xml:space="preserve">  </v>
      </c>
      <c r="J105" s="28"/>
      <c r="K105" s="96" t="str">
        <f>E105</f>
        <v>2016/2017</v>
      </c>
      <c r="L105" s="97" t="s">
        <v>1</v>
      </c>
      <c r="M105" s="98" t="s">
        <v>2</v>
      </c>
      <c r="O105" s="28" t="str">
        <f>C105</f>
        <v xml:space="preserve">  </v>
      </c>
      <c r="P105" s="284"/>
      <c r="Q105" s="63" t="str">
        <f>E105</f>
        <v>2016/2017</v>
      </c>
      <c r="R105" s="64" t="s">
        <v>1</v>
      </c>
      <c r="S105" s="65" t="s">
        <v>2</v>
      </c>
      <c r="V105" s="28" t="str">
        <f>C105</f>
        <v xml:space="preserve">  </v>
      </c>
      <c r="W105" s="96" t="str">
        <f>E105</f>
        <v>2016/2017</v>
      </c>
      <c r="X105" s="97" t="s">
        <v>1</v>
      </c>
      <c r="Y105" s="98" t="s">
        <v>2</v>
      </c>
      <c r="AA105" s="34" t="str">
        <f>C105</f>
        <v xml:space="preserve">  </v>
      </c>
      <c r="AB105" s="63" t="str">
        <f>E105</f>
        <v>2016/2017</v>
      </c>
      <c r="AC105" s="64" t="s">
        <v>1</v>
      </c>
      <c r="AD105" s="65" t="s">
        <v>2</v>
      </c>
      <c r="AF105" s="34" t="str">
        <f>C105</f>
        <v xml:space="preserve">  </v>
      </c>
      <c r="AG105" s="99" t="str">
        <f>E105</f>
        <v>2016/2017</v>
      </c>
      <c r="AH105" s="64" t="s">
        <v>1</v>
      </c>
      <c r="AI105" s="100" t="s">
        <v>2</v>
      </c>
      <c r="AK105" s="28" t="str">
        <f>C105</f>
        <v xml:space="preserve">  </v>
      </c>
      <c r="AL105" s="63" t="str">
        <f>E105</f>
        <v>2016/2017</v>
      </c>
      <c r="AM105" s="64" t="s">
        <v>1</v>
      </c>
      <c r="AN105" s="65" t="s">
        <v>2</v>
      </c>
      <c r="AO105" s="215"/>
      <c r="AP105" s="215"/>
    </row>
    <row r="106" spans="3:51" x14ac:dyDescent="0.25">
      <c r="C106" s="28">
        <v>42552</v>
      </c>
      <c r="D106" s="28"/>
      <c r="E106" s="66">
        <f>E103</f>
        <v>146966</v>
      </c>
      <c r="F106" s="67">
        <f>IF(E107&lt;&gt;0,E107-E106,"")</f>
        <v>0</v>
      </c>
      <c r="G106" s="68">
        <f>IF(E107&lt;&gt;0,E107-E106,0)</f>
        <v>0</v>
      </c>
      <c r="I106" s="28">
        <f>C106</f>
        <v>42552</v>
      </c>
      <c r="J106" s="28"/>
      <c r="K106" s="69">
        <f>K103</f>
        <v>48930</v>
      </c>
      <c r="L106" s="70">
        <f>IF(K107&lt;&gt;0,K107-K106,0)</f>
        <v>-110</v>
      </c>
      <c r="M106" s="68">
        <f>IF(K107&lt;&gt;0,K107-K106,0)</f>
        <v>-110</v>
      </c>
      <c r="O106" s="28">
        <f>C106</f>
        <v>42552</v>
      </c>
      <c r="P106" s="284"/>
      <c r="Q106" s="71">
        <f>Q103</f>
        <v>41995</v>
      </c>
      <c r="R106" s="70">
        <f>IF(Q107&lt;&gt;0,Q107-Q106,0)</f>
        <v>269</v>
      </c>
      <c r="S106" s="68">
        <f>IF(Q107&lt;&gt;0,Q107-Q106,0)</f>
        <v>269</v>
      </c>
      <c r="V106" s="28">
        <f>C106</f>
        <v>42552</v>
      </c>
      <c r="W106" s="69">
        <f>W103</f>
        <v>13203</v>
      </c>
      <c r="X106" s="70">
        <f>IF(W107&lt;&gt;0,W107-W106,0)</f>
        <v>22</v>
      </c>
      <c r="Y106" s="72">
        <f>IF(W107&lt;&gt;0,W107-W106,0)</f>
        <v>22</v>
      </c>
      <c r="AA106" s="34">
        <f>C106</f>
        <v>42552</v>
      </c>
      <c r="AB106" s="71">
        <f>AB103</f>
        <v>39130</v>
      </c>
      <c r="AC106" s="70">
        <f>IF(AB107&lt;&gt;0,AB107-AB106,0)</f>
        <v>25</v>
      </c>
      <c r="AD106" s="72">
        <f>IF(AB107&lt;&gt;0,AB107-AB106,0)</f>
        <v>25</v>
      </c>
      <c r="AF106" s="34">
        <f>C106</f>
        <v>42552</v>
      </c>
      <c r="AG106" s="73">
        <f>AG103</f>
        <v>45591</v>
      </c>
      <c r="AH106" s="70">
        <f>IF(AG107&lt;&gt;0,AG107-AG106,0)</f>
        <v>0</v>
      </c>
      <c r="AI106" s="74">
        <f>IF(AG107&lt;&gt;0,AG107-AG106,"")</f>
        <v>0</v>
      </c>
      <c r="AK106" s="28">
        <f>C106</f>
        <v>42552</v>
      </c>
      <c r="AL106" s="75">
        <f>AL103</f>
        <v>20200</v>
      </c>
      <c r="AM106" s="70">
        <f>IF(AL107&lt;&gt;0,AL107-AL106,0)</f>
        <v>400</v>
      </c>
      <c r="AN106" s="72">
        <f>IF(AL107&lt;&gt;0,AL107-AL106,0)</f>
        <v>400</v>
      </c>
      <c r="AO106" s="216"/>
      <c r="AP106" s="216"/>
    </row>
    <row r="107" spans="3:51" x14ac:dyDescent="0.25">
      <c r="C107" s="28">
        <v>42583</v>
      </c>
      <c r="D107" s="28"/>
      <c r="E107" s="85">
        <v>146966</v>
      </c>
      <c r="F107" s="79">
        <f>IF(E110&lt;&gt;0,E110-E106,0)</f>
        <v>0</v>
      </c>
      <c r="G107" s="80">
        <f>IF(E110&lt;&gt;0,E110-E107,0)</f>
        <v>0</v>
      </c>
      <c r="I107" s="28">
        <f>C107</f>
        <v>42583</v>
      </c>
      <c r="J107" s="28"/>
      <c r="K107" s="86">
        <v>48820</v>
      </c>
      <c r="L107" s="53">
        <f>IF(K110&lt;&gt;0,K110-K106,0)</f>
        <v>-245</v>
      </c>
      <c r="M107" s="80">
        <f>IF(K110&lt;&gt;0,K110-K107,0)</f>
        <v>-135</v>
      </c>
      <c r="O107" s="28">
        <f>C107</f>
        <v>42583</v>
      </c>
      <c r="P107" s="284"/>
      <c r="Q107" s="85">
        <v>42264</v>
      </c>
      <c r="R107" s="53">
        <f>IF(Q110&lt;&gt;0,Q110-Q106,0)</f>
        <v>445</v>
      </c>
      <c r="S107" s="80">
        <f>IF(Q110&lt;&gt;0,Q110-Q107,0)</f>
        <v>176</v>
      </c>
      <c r="V107" s="28">
        <f>C107</f>
        <v>42583</v>
      </c>
      <c r="W107" s="86">
        <v>13225</v>
      </c>
      <c r="X107" s="53">
        <f>IF(W110&lt;&gt;0,W110-W106,0)</f>
        <v>62</v>
      </c>
      <c r="Y107" s="74">
        <f>IF(W110&lt;&gt;0,W110-W107,0)</f>
        <v>40</v>
      </c>
      <c r="AA107" s="34">
        <f>C107</f>
        <v>42583</v>
      </c>
      <c r="AB107" s="85">
        <v>39155</v>
      </c>
      <c r="AC107" s="53">
        <f>IF(AB110&lt;&gt;0,AB110-AB106,0)</f>
        <v>60</v>
      </c>
      <c r="AD107" s="74">
        <f>IF(AB110&lt;&gt;0,AB110-AB107,0)</f>
        <v>35</v>
      </c>
      <c r="AF107" s="34">
        <f>C107</f>
        <v>42583</v>
      </c>
      <c r="AG107" s="85">
        <v>45591</v>
      </c>
      <c r="AH107" s="53">
        <f>IF(AG110&lt;&gt;0,AG110-AG106,0)</f>
        <v>1</v>
      </c>
      <c r="AI107" s="74">
        <f>IF(AG110&lt;&gt;0,AG110-AG107,"")</f>
        <v>1</v>
      </c>
      <c r="AK107" s="28">
        <f>C107</f>
        <v>42583</v>
      </c>
      <c r="AL107" s="85">
        <v>20600</v>
      </c>
      <c r="AM107" s="53">
        <f>IF(AL110&lt;&gt;0,AL110-AL106,0)</f>
        <v>850</v>
      </c>
      <c r="AN107" s="74">
        <f>IF(AL110&lt;&gt;0,AL110-AL107,0)</f>
        <v>450</v>
      </c>
      <c r="AO107" s="216"/>
      <c r="AP107" s="216"/>
    </row>
    <row r="108" spans="3:51" ht="15.75" thickBot="1" x14ac:dyDescent="0.3">
      <c r="C108" s="76" t="s">
        <v>19</v>
      </c>
      <c r="D108" s="77">
        <v>42604</v>
      </c>
      <c r="E108" s="78">
        <v>146966</v>
      </c>
      <c r="F108" s="79"/>
      <c r="G108" s="80"/>
      <c r="I108" s="101" t="str">
        <f>C108</f>
        <v>ELECTRABEL</v>
      </c>
      <c r="J108" s="101"/>
      <c r="K108" s="81">
        <v>48751</v>
      </c>
      <c r="L108" s="53"/>
      <c r="M108" s="80"/>
      <c r="O108" s="101" t="str">
        <f>C108</f>
        <v>ELECTRABEL</v>
      </c>
      <c r="P108" s="288"/>
      <c r="Q108" s="82">
        <v>42264</v>
      </c>
      <c r="R108" s="53"/>
      <c r="S108" s="80"/>
      <c r="V108" s="101" t="str">
        <f>C108</f>
        <v>ELECTRABEL</v>
      </c>
      <c r="W108" s="81">
        <v>13252</v>
      </c>
      <c r="X108" s="53"/>
      <c r="Y108" s="74"/>
      <c r="AA108" s="77" t="str">
        <f>C108</f>
        <v>ELECTRABEL</v>
      </c>
      <c r="AB108" s="82">
        <v>39165</v>
      </c>
      <c r="AC108" s="53"/>
      <c r="AD108" s="74"/>
      <c r="AF108" s="77" t="str">
        <f>C108</f>
        <v>ELECTRABEL</v>
      </c>
      <c r="AG108" s="78">
        <v>45591</v>
      </c>
      <c r="AH108" s="53"/>
      <c r="AI108" s="74"/>
      <c r="AK108" s="28" t="str">
        <f>C108</f>
        <v>ELECTRABEL</v>
      </c>
      <c r="AL108" s="78">
        <v>20850</v>
      </c>
      <c r="AM108" s="53"/>
      <c r="AN108" s="74"/>
      <c r="AO108" s="216"/>
      <c r="AP108" s="216"/>
    </row>
    <row r="109" spans="3:51" ht="15.75" thickBot="1" x14ac:dyDescent="0.3">
      <c r="C109" s="76"/>
      <c r="D109" s="77"/>
      <c r="E109" s="83">
        <f>+E108-E92</f>
        <v>9775</v>
      </c>
      <c r="F109" s="79"/>
      <c r="G109" s="80"/>
      <c r="I109" s="101"/>
      <c r="J109" s="101"/>
      <c r="K109" s="83">
        <f>+K108-K92</f>
        <v>157</v>
      </c>
      <c r="L109" s="53"/>
      <c r="M109" s="80"/>
      <c r="O109" s="101"/>
      <c r="P109" s="288"/>
      <c r="Q109" s="83">
        <f>+Q108-Q92</f>
        <v>2882</v>
      </c>
      <c r="R109" s="53"/>
      <c r="S109" s="80"/>
      <c r="V109" s="101"/>
      <c r="W109" s="83">
        <f>+W108-W92</f>
        <v>907</v>
      </c>
      <c r="X109" s="53"/>
      <c r="Y109" s="74"/>
      <c r="AA109" s="77"/>
      <c r="AB109" s="83">
        <f>+AB108-AB92</f>
        <v>3292</v>
      </c>
      <c r="AC109" s="53"/>
      <c r="AD109" s="74"/>
      <c r="AF109" s="77"/>
      <c r="AG109" s="83">
        <f>+AG108-AG92</f>
        <v>375</v>
      </c>
      <c r="AH109" s="53"/>
      <c r="AI109" s="74"/>
      <c r="AK109" s="28"/>
      <c r="AL109" s="83">
        <f>+AL108-AL92</f>
        <v>2500</v>
      </c>
      <c r="AM109" s="53"/>
      <c r="AN109" s="74"/>
      <c r="AO109" s="216"/>
      <c r="AP109" s="216"/>
    </row>
    <row r="110" spans="3:51" x14ac:dyDescent="0.25">
      <c r="C110" s="28">
        <v>42614</v>
      </c>
      <c r="D110" s="28"/>
      <c r="E110" s="85">
        <v>146966</v>
      </c>
      <c r="F110" s="53">
        <v>0</v>
      </c>
      <c r="G110" s="80">
        <f>IF(E111&lt;&gt;0,E111-E110,0)</f>
        <v>0</v>
      </c>
      <c r="I110" s="28">
        <f t="shared" ref="I110:I121" si="53">C110</f>
        <v>42614</v>
      </c>
      <c r="J110" s="28"/>
      <c r="K110" s="86">
        <v>48685</v>
      </c>
      <c r="L110" s="53">
        <v>0</v>
      </c>
      <c r="M110" s="80">
        <f>IF(K111&lt;&gt;0,K111-K110,0)</f>
        <v>-73</v>
      </c>
      <c r="O110" s="28">
        <f t="shared" ref="O110:O121" si="54">C110</f>
        <v>42614</v>
      </c>
      <c r="P110" s="284"/>
      <c r="Q110" s="85">
        <v>42440</v>
      </c>
      <c r="R110" s="53">
        <v>0</v>
      </c>
      <c r="S110" s="80">
        <f>IF(Q111&lt;&gt;0,Q111-Q110,0)</f>
        <v>101</v>
      </c>
      <c r="V110" s="28">
        <f t="shared" ref="V110:V121" si="55">C110</f>
        <v>42614</v>
      </c>
      <c r="W110" s="86">
        <v>13265</v>
      </c>
      <c r="X110" s="53">
        <v>0</v>
      </c>
      <c r="Y110" s="74">
        <f>IF(W111&lt;&gt;0,W111-W110,0)</f>
        <v>43</v>
      </c>
      <c r="AA110" s="34">
        <f t="shared" ref="AA110:AA121" si="56">C110</f>
        <v>42614</v>
      </c>
      <c r="AB110" s="85">
        <v>39190</v>
      </c>
      <c r="AC110" s="53">
        <v>0</v>
      </c>
      <c r="AD110" s="74">
        <f>IF(AB111&lt;&gt;0,AB111-AB110,0)</f>
        <v>57</v>
      </c>
      <c r="AF110" s="34">
        <f t="shared" ref="AF110:AF121" si="57">C110</f>
        <v>42614</v>
      </c>
      <c r="AG110" s="85">
        <v>45592</v>
      </c>
      <c r="AH110" s="53">
        <v>0</v>
      </c>
      <c r="AI110" s="74">
        <f>IF(AG111&lt;&gt;0,AG111-AG110,"")</f>
        <v>0</v>
      </c>
      <c r="AK110" s="28">
        <f t="shared" ref="AK110:AK121" si="58">C110</f>
        <v>42614</v>
      </c>
      <c r="AL110" s="85">
        <v>21050</v>
      </c>
      <c r="AM110" s="53">
        <v>0</v>
      </c>
      <c r="AN110" s="74">
        <f t="shared" ref="AN110:AN119" si="59">IF(AL111&lt;&gt;0,AL111-AL110,0)</f>
        <v>418</v>
      </c>
      <c r="AO110" s="216"/>
      <c r="AP110" s="216"/>
    </row>
    <row r="111" spans="3:51" x14ac:dyDescent="0.25">
      <c r="C111" s="28">
        <v>42644</v>
      </c>
      <c r="D111" s="28"/>
      <c r="E111" s="85">
        <v>146966</v>
      </c>
      <c r="F111" s="79">
        <f>IF(G111&lt;&gt;0,G111+F110,0)</f>
        <v>712</v>
      </c>
      <c r="G111" s="80">
        <f t="shared" ref="G111:G119" si="60">IF(E112&lt;&gt;0,E112-E111,0)</f>
        <v>712</v>
      </c>
      <c r="I111" s="28">
        <f t="shared" si="53"/>
        <v>42644</v>
      </c>
      <c r="J111" s="28"/>
      <c r="K111" s="86">
        <v>48612</v>
      </c>
      <c r="L111" s="53">
        <f>L110+M110</f>
        <v>-73</v>
      </c>
      <c r="M111" s="80">
        <f t="shared" ref="M111:M119" si="61">IF(K112&lt;&gt;0,K112-K111,0)</f>
        <v>32</v>
      </c>
      <c r="O111" s="28">
        <f t="shared" si="54"/>
        <v>42644</v>
      </c>
      <c r="P111" s="284"/>
      <c r="Q111" s="85">
        <v>42541</v>
      </c>
      <c r="R111" s="53">
        <f>R110+S110</f>
        <v>101</v>
      </c>
      <c r="S111" s="80">
        <f t="shared" ref="S111:S119" si="62">IF(Q112&lt;&gt;0,Q112-Q111,0)</f>
        <v>284</v>
      </c>
      <c r="V111" s="28">
        <f t="shared" si="55"/>
        <v>42644</v>
      </c>
      <c r="W111" s="86">
        <v>13308</v>
      </c>
      <c r="X111" s="53">
        <f>X110+Y110</f>
        <v>43</v>
      </c>
      <c r="Y111" s="74">
        <f t="shared" ref="Y111:Y119" si="63">IF(W112&lt;&gt;0,W112-W111,0)</f>
        <v>36</v>
      </c>
      <c r="AA111" s="34">
        <f t="shared" si="56"/>
        <v>42644</v>
      </c>
      <c r="AB111" s="85">
        <v>39247</v>
      </c>
      <c r="AC111" s="53">
        <f>AC110+AD110</f>
        <v>57</v>
      </c>
      <c r="AD111" s="74">
        <f t="shared" ref="AD111:AD119" si="64">IF(AB112&lt;&gt;0,AB112-AB111,0)</f>
        <v>286</v>
      </c>
      <c r="AF111" s="34">
        <f t="shared" si="57"/>
        <v>42644</v>
      </c>
      <c r="AG111" s="85">
        <v>45592</v>
      </c>
      <c r="AH111" s="53">
        <f>AH110+AI110</f>
        <v>0</v>
      </c>
      <c r="AI111" s="74">
        <f t="shared" ref="AI111:AI119" si="65">IF(AG112&lt;&gt;0,AG112-AG111,"")</f>
        <v>1</v>
      </c>
      <c r="AK111" s="28">
        <f t="shared" si="58"/>
        <v>42644</v>
      </c>
      <c r="AL111" s="87">
        <v>21468</v>
      </c>
      <c r="AM111" s="53">
        <f t="shared" ref="AM111:AM120" si="66">AM110+AN110</f>
        <v>418</v>
      </c>
      <c r="AN111" s="74">
        <f t="shared" si="59"/>
        <v>193</v>
      </c>
      <c r="AO111" s="216"/>
      <c r="AP111" s="216"/>
      <c r="AW111" s="178">
        <v>28</v>
      </c>
      <c r="AX111" s="190"/>
      <c r="AY111" s="179">
        <f>AW111*65</f>
        <v>1820</v>
      </c>
    </row>
    <row r="112" spans="3:51" x14ac:dyDescent="0.25">
      <c r="C112" s="28">
        <v>42675</v>
      </c>
      <c r="D112" s="28"/>
      <c r="E112" s="85">
        <v>147678</v>
      </c>
      <c r="F112" s="79">
        <f t="shared" ref="F112:F120" si="67">IF(G112&lt;&gt;0,G112+F111,0)</f>
        <v>2268</v>
      </c>
      <c r="G112" s="80">
        <f t="shared" si="60"/>
        <v>1556</v>
      </c>
      <c r="I112" s="28">
        <f t="shared" si="53"/>
        <v>42675</v>
      </c>
      <c r="J112" s="28"/>
      <c r="K112" s="86">
        <v>48644</v>
      </c>
      <c r="L112" s="53">
        <f t="shared" ref="L112:L120" si="68">L111+M111</f>
        <v>-41</v>
      </c>
      <c r="M112" s="80">
        <f t="shared" si="61"/>
        <v>97</v>
      </c>
      <c r="O112" s="28">
        <f t="shared" si="54"/>
        <v>42675</v>
      </c>
      <c r="P112" s="284"/>
      <c r="Q112" s="85">
        <v>42825</v>
      </c>
      <c r="R112" s="53">
        <f t="shared" ref="R112:R120" si="69">R111+S111</f>
        <v>385</v>
      </c>
      <c r="S112" s="80">
        <f t="shared" si="62"/>
        <v>337</v>
      </c>
      <c r="V112" s="28">
        <f t="shared" si="55"/>
        <v>42675</v>
      </c>
      <c r="W112" s="86">
        <v>13344</v>
      </c>
      <c r="X112" s="53">
        <f t="shared" ref="X112:X120" si="70">X111+Y111</f>
        <v>79</v>
      </c>
      <c r="Y112" s="74">
        <f t="shared" si="63"/>
        <v>44</v>
      </c>
      <c r="AA112" s="34">
        <f t="shared" si="56"/>
        <v>42675</v>
      </c>
      <c r="AB112" s="85">
        <v>39533</v>
      </c>
      <c r="AC112" s="53">
        <f t="shared" ref="AC112:AC120" si="71">AC111+AD111</f>
        <v>343</v>
      </c>
      <c r="AD112" s="74">
        <f t="shared" si="64"/>
        <v>473</v>
      </c>
      <c r="AF112" s="34">
        <f t="shared" si="57"/>
        <v>42675</v>
      </c>
      <c r="AG112" s="85">
        <v>45593</v>
      </c>
      <c r="AH112" s="53">
        <f t="shared" ref="AH112:AH120" si="72">AH111+AI111</f>
        <v>1</v>
      </c>
      <c r="AI112" s="74">
        <f t="shared" si="65"/>
        <v>26</v>
      </c>
      <c r="AK112" s="28">
        <f t="shared" si="58"/>
        <v>42675</v>
      </c>
      <c r="AL112" s="85">
        <v>21661</v>
      </c>
      <c r="AM112" s="53">
        <f t="shared" si="66"/>
        <v>611</v>
      </c>
      <c r="AN112" s="74">
        <f t="shared" si="59"/>
        <v>93</v>
      </c>
      <c r="AO112" s="216"/>
      <c r="AP112" s="216"/>
    </row>
    <row r="113" spans="3:51" x14ac:dyDescent="0.25">
      <c r="C113" s="28">
        <v>42705</v>
      </c>
      <c r="D113" s="28"/>
      <c r="E113" s="85">
        <v>149234</v>
      </c>
      <c r="F113" s="79">
        <f t="shared" si="67"/>
        <v>4668</v>
      </c>
      <c r="G113" s="80">
        <f t="shared" si="60"/>
        <v>2400</v>
      </c>
      <c r="I113" s="28">
        <f t="shared" si="53"/>
        <v>42705</v>
      </c>
      <c r="J113" s="28"/>
      <c r="K113" s="86">
        <v>48741</v>
      </c>
      <c r="L113" s="53">
        <f t="shared" si="68"/>
        <v>56</v>
      </c>
      <c r="M113" s="80">
        <f t="shared" si="61"/>
        <v>111</v>
      </c>
      <c r="O113" s="28">
        <f t="shared" si="54"/>
        <v>42705</v>
      </c>
      <c r="P113" s="284"/>
      <c r="Q113" s="85">
        <v>43162</v>
      </c>
      <c r="R113" s="53">
        <f t="shared" si="69"/>
        <v>722</v>
      </c>
      <c r="S113" s="80">
        <f t="shared" si="62"/>
        <v>415</v>
      </c>
      <c r="V113" s="28">
        <f t="shared" si="55"/>
        <v>42705</v>
      </c>
      <c r="W113" s="86">
        <v>13388</v>
      </c>
      <c r="X113" s="53">
        <f t="shared" si="70"/>
        <v>123</v>
      </c>
      <c r="Y113" s="74">
        <f t="shared" si="63"/>
        <v>126</v>
      </c>
      <c r="AA113" s="34">
        <f t="shared" si="56"/>
        <v>42705</v>
      </c>
      <c r="AB113" s="85">
        <v>40006</v>
      </c>
      <c r="AC113" s="53">
        <f t="shared" si="71"/>
        <v>816</v>
      </c>
      <c r="AD113" s="74">
        <f t="shared" si="64"/>
        <v>736</v>
      </c>
      <c r="AF113" s="34">
        <f t="shared" si="57"/>
        <v>42705</v>
      </c>
      <c r="AG113" s="85">
        <v>45619</v>
      </c>
      <c r="AH113" s="53">
        <f t="shared" si="72"/>
        <v>27</v>
      </c>
      <c r="AI113" s="74">
        <f t="shared" si="65"/>
        <v>163</v>
      </c>
      <c r="AK113" s="28">
        <f t="shared" si="58"/>
        <v>42705</v>
      </c>
      <c r="AL113" s="85">
        <v>21754</v>
      </c>
      <c r="AM113" s="53">
        <f t="shared" si="66"/>
        <v>704</v>
      </c>
      <c r="AN113" s="74">
        <f t="shared" si="59"/>
        <v>76</v>
      </c>
      <c r="AO113" s="216"/>
      <c r="AP113" s="216"/>
    </row>
    <row r="114" spans="3:51" x14ac:dyDescent="0.25">
      <c r="C114" s="28">
        <v>42736</v>
      </c>
      <c r="D114" s="28"/>
      <c r="E114" s="85">
        <v>151634</v>
      </c>
      <c r="F114" s="79">
        <f t="shared" si="67"/>
        <v>7788</v>
      </c>
      <c r="G114" s="80">
        <f t="shared" si="60"/>
        <v>3120</v>
      </c>
      <c r="I114" s="28">
        <f t="shared" si="53"/>
        <v>42736</v>
      </c>
      <c r="J114" s="28"/>
      <c r="K114" s="86">
        <v>48852</v>
      </c>
      <c r="L114" s="53">
        <f t="shared" si="68"/>
        <v>167</v>
      </c>
      <c r="M114" s="80">
        <f t="shared" si="61"/>
        <v>119</v>
      </c>
      <c r="O114" s="28">
        <f t="shared" si="54"/>
        <v>42736</v>
      </c>
      <c r="P114" s="284"/>
      <c r="Q114" s="85">
        <v>43577</v>
      </c>
      <c r="R114" s="53">
        <f t="shared" si="69"/>
        <v>1137</v>
      </c>
      <c r="S114" s="80">
        <f t="shared" si="62"/>
        <v>485</v>
      </c>
      <c r="V114" s="28">
        <f t="shared" si="55"/>
        <v>42736</v>
      </c>
      <c r="W114" s="86">
        <v>13514</v>
      </c>
      <c r="X114" s="53">
        <f t="shared" si="70"/>
        <v>249</v>
      </c>
      <c r="Y114" s="74">
        <f t="shared" si="63"/>
        <v>224</v>
      </c>
      <c r="AA114" s="34">
        <f t="shared" si="56"/>
        <v>42736</v>
      </c>
      <c r="AB114" s="85">
        <v>40742</v>
      </c>
      <c r="AC114" s="53">
        <f t="shared" si="71"/>
        <v>1552</v>
      </c>
      <c r="AD114" s="74">
        <f t="shared" si="64"/>
        <v>1094</v>
      </c>
      <c r="AF114" s="34">
        <f t="shared" si="57"/>
        <v>42736</v>
      </c>
      <c r="AG114" s="85">
        <v>45782</v>
      </c>
      <c r="AH114" s="53">
        <f t="shared" si="72"/>
        <v>190</v>
      </c>
      <c r="AI114" s="74">
        <f t="shared" si="65"/>
        <v>419</v>
      </c>
      <c r="AK114" s="28">
        <f t="shared" si="58"/>
        <v>42736</v>
      </c>
      <c r="AL114" s="85">
        <v>21830</v>
      </c>
      <c r="AM114" s="53">
        <f t="shared" si="66"/>
        <v>780</v>
      </c>
      <c r="AN114" s="74">
        <f t="shared" si="59"/>
        <v>20</v>
      </c>
      <c r="AO114" s="216"/>
      <c r="AP114" s="216"/>
    </row>
    <row r="115" spans="3:51" x14ac:dyDescent="0.25">
      <c r="C115" s="28">
        <v>42767</v>
      </c>
      <c r="D115" s="28"/>
      <c r="E115" s="85">
        <v>154754</v>
      </c>
      <c r="F115" s="79">
        <f t="shared" si="67"/>
        <v>9793</v>
      </c>
      <c r="G115" s="80">
        <f t="shared" si="60"/>
        <v>2005</v>
      </c>
      <c r="I115" s="28">
        <f t="shared" si="53"/>
        <v>42767</v>
      </c>
      <c r="J115" s="28"/>
      <c r="K115" s="86">
        <v>48971</v>
      </c>
      <c r="L115" s="53">
        <f t="shared" si="68"/>
        <v>286</v>
      </c>
      <c r="M115" s="80">
        <f t="shared" si="61"/>
        <v>65</v>
      </c>
      <c r="O115" s="28">
        <f t="shared" si="54"/>
        <v>42767</v>
      </c>
      <c r="P115" s="284"/>
      <c r="Q115" s="85">
        <v>44062</v>
      </c>
      <c r="R115" s="53">
        <f t="shared" si="69"/>
        <v>1622</v>
      </c>
      <c r="S115" s="80">
        <f t="shared" si="62"/>
        <v>324</v>
      </c>
      <c r="V115" s="28">
        <f t="shared" si="55"/>
        <v>42767</v>
      </c>
      <c r="W115" s="86">
        <v>13738</v>
      </c>
      <c r="X115" s="53">
        <f t="shared" si="70"/>
        <v>473</v>
      </c>
      <c r="Y115" s="74">
        <f t="shared" si="63"/>
        <v>76</v>
      </c>
      <c r="AA115" s="34">
        <f t="shared" si="56"/>
        <v>42767</v>
      </c>
      <c r="AB115" s="85">
        <v>41836</v>
      </c>
      <c r="AC115" s="53">
        <f t="shared" si="71"/>
        <v>2646</v>
      </c>
      <c r="AD115" s="74">
        <f t="shared" si="64"/>
        <v>559</v>
      </c>
      <c r="AF115" s="34">
        <f t="shared" si="57"/>
        <v>42767</v>
      </c>
      <c r="AG115" s="85">
        <v>46201</v>
      </c>
      <c r="AH115" s="53">
        <f t="shared" si="72"/>
        <v>609</v>
      </c>
      <c r="AI115" s="74">
        <f t="shared" si="65"/>
        <v>62</v>
      </c>
      <c r="AK115" s="28">
        <f t="shared" si="58"/>
        <v>42767</v>
      </c>
      <c r="AL115" s="85">
        <v>21850</v>
      </c>
      <c r="AM115" s="53">
        <f t="shared" si="66"/>
        <v>800</v>
      </c>
      <c r="AN115" s="74">
        <f t="shared" si="59"/>
        <v>150</v>
      </c>
      <c r="AO115" s="216"/>
      <c r="AP115" s="216"/>
    </row>
    <row r="116" spans="3:51" x14ac:dyDescent="0.25">
      <c r="C116" s="28">
        <v>42795</v>
      </c>
      <c r="D116" s="28"/>
      <c r="E116" s="85">
        <v>156759</v>
      </c>
      <c r="F116" s="79">
        <f t="shared" si="67"/>
        <v>10910</v>
      </c>
      <c r="G116" s="80">
        <f t="shared" si="60"/>
        <v>1117</v>
      </c>
      <c r="I116" s="28">
        <f t="shared" si="53"/>
        <v>42795</v>
      </c>
      <c r="J116" s="28"/>
      <c r="K116" s="86">
        <v>49036</v>
      </c>
      <c r="L116" s="53">
        <f t="shared" si="68"/>
        <v>351</v>
      </c>
      <c r="M116" s="80">
        <f t="shared" si="61"/>
        <v>-67</v>
      </c>
      <c r="O116" s="28">
        <f t="shared" si="54"/>
        <v>42795</v>
      </c>
      <c r="P116" s="284"/>
      <c r="Q116" s="85">
        <v>44386</v>
      </c>
      <c r="R116" s="53">
        <f t="shared" si="69"/>
        <v>1946</v>
      </c>
      <c r="S116" s="80">
        <f t="shared" si="62"/>
        <v>268</v>
      </c>
      <c r="V116" s="28">
        <f t="shared" si="55"/>
        <v>42795</v>
      </c>
      <c r="W116" s="86">
        <v>13814</v>
      </c>
      <c r="X116" s="53">
        <f t="shared" si="70"/>
        <v>549</v>
      </c>
      <c r="Y116" s="74">
        <f t="shared" si="63"/>
        <v>64</v>
      </c>
      <c r="AA116" s="34">
        <f t="shared" si="56"/>
        <v>42795</v>
      </c>
      <c r="AB116" s="85">
        <v>42395</v>
      </c>
      <c r="AC116" s="53">
        <f t="shared" si="71"/>
        <v>3205</v>
      </c>
      <c r="AD116" s="74">
        <f t="shared" si="64"/>
        <v>400</v>
      </c>
      <c r="AF116" s="34">
        <f t="shared" si="57"/>
        <v>42795</v>
      </c>
      <c r="AG116" s="85">
        <v>46263</v>
      </c>
      <c r="AH116" s="53">
        <f t="shared" si="72"/>
        <v>671</v>
      </c>
      <c r="AI116" s="74">
        <f t="shared" si="65"/>
        <v>1</v>
      </c>
      <c r="AK116" s="28">
        <f t="shared" si="58"/>
        <v>42795</v>
      </c>
      <c r="AL116" s="85">
        <v>22000</v>
      </c>
      <c r="AM116" s="53">
        <f t="shared" si="66"/>
        <v>950</v>
      </c>
      <c r="AN116" s="74">
        <f t="shared" si="59"/>
        <v>350</v>
      </c>
      <c r="AO116" s="216"/>
      <c r="AP116" s="216"/>
    </row>
    <row r="117" spans="3:51" x14ac:dyDescent="0.25">
      <c r="C117" s="28">
        <v>42826</v>
      </c>
      <c r="D117" s="28"/>
      <c r="E117" s="85">
        <v>157876</v>
      </c>
      <c r="F117" s="79">
        <f t="shared" si="67"/>
        <v>11620</v>
      </c>
      <c r="G117" s="80">
        <f t="shared" si="60"/>
        <v>710</v>
      </c>
      <c r="I117" s="28">
        <f t="shared" si="53"/>
        <v>42826</v>
      </c>
      <c r="J117" s="28"/>
      <c r="K117" s="86">
        <v>48969</v>
      </c>
      <c r="L117" s="53">
        <f t="shared" si="68"/>
        <v>284</v>
      </c>
      <c r="M117" s="80">
        <f t="shared" si="61"/>
        <v>-91</v>
      </c>
      <c r="O117" s="28">
        <f t="shared" si="54"/>
        <v>42826</v>
      </c>
      <c r="P117" s="284"/>
      <c r="Q117" s="85">
        <v>44654</v>
      </c>
      <c r="R117" s="53">
        <f t="shared" si="69"/>
        <v>2214</v>
      </c>
      <c r="S117" s="80">
        <f t="shared" si="62"/>
        <v>240</v>
      </c>
      <c r="V117" s="28">
        <f t="shared" si="55"/>
        <v>42826</v>
      </c>
      <c r="W117" s="86">
        <v>13878</v>
      </c>
      <c r="X117" s="53">
        <f t="shared" si="70"/>
        <v>613</v>
      </c>
      <c r="Y117" s="74">
        <f t="shared" si="63"/>
        <v>57</v>
      </c>
      <c r="AA117" s="34">
        <f t="shared" si="56"/>
        <v>42826</v>
      </c>
      <c r="AB117" s="85">
        <v>42795</v>
      </c>
      <c r="AC117" s="53">
        <f t="shared" si="71"/>
        <v>3605</v>
      </c>
      <c r="AD117" s="74">
        <f t="shared" si="64"/>
        <v>264</v>
      </c>
      <c r="AF117" s="34">
        <f t="shared" si="57"/>
        <v>42826</v>
      </c>
      <c r="AG117" s="85">
        <v>46264</v>
      </c>
      <c r="AH117" s="53">
        <f t="shared" si="72"/>
        <v>672</v>
      </c>
      <c r="AI117" s="74">
        <f t="shared" si="65"/>
        <v>2</v>
      </c>
      <c r="AK117" s="28">
        <f t="shared" si="58"/>
        <v>42826</v>
      </c>
      <c r="AL117" s="85">
        <v>22350</v>
      </c>
      <c r="AM117" s="53">
        <f t="shared" si="66"/>
        <v>1300</v>
      </c>
      <c r="AN117" s="74">
        <f t="shared" si="59"/>
        <v>366</v>
      </c>
      <c r="AO117" s="216"/>
      <c r="AP117" s="216"/>
    </row>
    <row r="118" spans="3:51" x14ac:dyDescent="0.25">
      <c r="C118" s="28">
        <v>42856</v>
      </c>
      <c r="D118" s="28"/>
      <c r="E118" s="85">
        <v>158586</v>
      </c>
      <c r="F118" s="79">
        <f t="shared" si="67"/>
        <v>11628</v>
      </c>
      <c r="G118" s="80">
        <f t="shared" si="60"/>
        <v>8</v>
      </c>
      <c r="I118" s="28">
        <f t="shared" si="53"/>
        <v>42856</v>
      </c>
      <c r="J118" s="28"/>
      <c r="K118" s="86">
        <v>48878</v>
      </c>
      <c r="L118" s="53">
        <f t="shared" si="68"/>
        <v>193</v>
      </c>
      <c r="M118" s="80">
        <f t="shared" si="61"/>
        <v>-177</v>
      </c>
      <c r="O118" s="28">
        <f t="shared" si="54"/>
        <v>42856</v>
      </c>
      <c r="P118" s="284"/>
      <c r="Q118" s="85">
        <v>44894</v>
      </c>
      <c r="R118" s="53">
        <f t="shared" si="69"/>
        <v>2454</v>
      </c>
      <c r="S118" s="80">
        <f t="shared" si="62"/>
        <v>143</v>
      </c>
      <c r="V118" s="28">
        <f t="shared" si="55"/>
        <v>42856</v>
      </c>
      <c r="W118" s="86">
        <v>13935</v>
      </c>
      <c r="X118" s="53">
        <f t="shared" si="70"/>
        <v>670</v>
      </c>
      <c r="Y118" s="74">
        <f t="shared" si="63"/>
        <v>58</v>
      </c>
      <c r="AA118" s="34">
        <f t="shared" si="56"/>
        <v>42856</v>
      </c>
      <c r="AB118" s="85">
        <v>43059</v>
      </c>
      <c r="AC118" s="53">
        <f t="shared" si="71"/>
        <v>3869</v>
      </c>
      <c r="AD118" s="74">
        <f t="shared" si="64"/>
        <v>130</v>
      </c>
      <c r="AF118" s="34">
        <f t="shared" si="57"/>
        <v>42856</v>
      </c>
      <c r="AG118" s="85">
        <v>46266</v>
      </c>
      <c r="AH118" s="53">
        <f t="shared" si="72"/>
        <v>674</v>
      </c>
      <c r="AI118" s="74">
        <f t="shared" si="65"/>
        <v>1</v>
      </c>
      <c r="AK118" s="28">
        <f t="shared" si="58"/>
        <v>42856</v>
      </c>
      <c r="AL118" s="85">
        <v>22716</v>
      </c>
      <c r="AM118" s="53">
        <f t="shared" si="66"/>
        <v>1666</v>
      </c>
      <c r="AN118" s="74">
        <f t="shared" si="59"/>
        <v>452</v>
      </c>
      <c r="AO118" s="216"/>
      <c r="AP118" s="216"/>
      <c r="AQ118" s="104"/>
      <c r="AR118" s="104"/>
      <c r="AS118" s="104"/>
      <c r="AT118" s="185"/>
    </row>
    <row r="119" spans="3:51" x14ac:dyDescent="0.25">
      <c r="C119" s="28">
        <v>42887</v>
      </c>
      <c r="D119" s="28"/>
      <c r="E119" s="85">
        <v>158594</v>
      </c>
      <c r="F119" s="79">
        <f t="shared" si="67"/>
        <v>0</v>
      </c>
      <c r="G119" s="80">
        <f t="shared" si="60"/>
        <v>0</v>
      </c>
      <c r="I119" s="28">
        <f t="shared" si="53"/>
        <v>42887</v>
      </c>
      <c r="J119" s="28"/>
      <c r="K119" s="86">
        <v>48701</v>
      </c>
      <c r="L119" s="53">
        <f t="shared" si="68"/>
        <v>16</v>
      </c>
      <c r="M119" s="80">
        <f t="shared" si="61"/>
        <v>-60</v>
      </c>
      <c r="O119" s="28">
        <f t="shared" si="54"/>
        <v>42887</v>
      </c>
      <c r="P119" s="284"/>
      <c r="Q119" s="85">
        <v>45037</v>
      </c>
      <c r="R119" s="53">
        <f t="shared" si="69"/>
        <v>2597</v>
      </c>
      <c r="S119" s="80">
        <f t="shared" si="62"/>
        <v>111</v>
      </c>
      <c r="V119" s="28">
        <f t="shared" si="55"/>
        <v>42887</v>
      </c>
      <c r="W119" s="86">
        <v>13993</v>
      </c>
      <c r="X119" s="53">
        <f t="shared" si="70"/>
        <v>728</v>
      </c>
      <c r="Y119" s="74">
        <f t="shared" si="63"/>
        <v>59</v>
      </c>
      <c r="AA119" s="34">
        <f t="shared" si="56"/>
        <v>42887</v>
      </c>
      <c r="AB119" s="85">
        <v>43189</v>
      </c>
      <c r="AC119" s="53">
        <f t="shared" si="71"/>
        <v>3999</v>
      </c>
      <c r="AD119" s="74">
        <f t="shared" si="64"/>
        <v>41</v>
      </c>
      <c r="AF119" s="34">
        <f t="shared" si="57"/>
        <v>42887</v>
      </c>
      <c r="AG119" s="85">
        <v>46267</v>
      </c>
      <c r="AH119" s="53">
        <f t="shared" si="72"/>
        <v>675</v>
      </c>
      <c r="AI119" s="74">
        <f t="shared" si="65"/>
        <v>0</v>
      </c>
      <c r="AK119" s="28">
        <f t="shared" si="58"/>
        <v>42887</v>
      </c>
      <c r="AL119" s="85">
        <v>23168</v>
      </c>
      <c r="AM119" s="53">
        <f t="shared" si="66"/>
        <v>2118</v>
      </c>
      <c r="AN119" s="74">
        <f t="shared" si="59"/>
        <v>332</v>
      </c>
      <c r="AO119" s="216"/>
      <c r="AP119" s="216"/>
    </row>
    <row r="120" spans="3:51" x14ac:dyDescent="0.25">
      <c r="C120" s="28">
        <v>42917</v>
      </c>
      <c r="D120" s="28"/>
      <c r="E120" s="88">
        <v>158594</v>
      </c>
      <c r="F120" s="79">
        <f t="shared" si="67"/>
        <v>0</v>
      </c>
      <c r="G120" s="90"/>
      <c r="I120" s="28">
        <f t="shared" si="53"/>
        <v>42917</v>
      </c>
      <c r="J120" s="28"/>
      <c r="K120" s="91">
        <v>48641</v>
      </c>
      <c r="L120" s="49">
        <f t="shared" si="68"/>
        <v>-44</v>
      </c>
      <c r="M120" s="92"/>
      <c r="O120" s="28">
        <f t="shared" si="54"/>
        <v>42917</v>
      </c>
      <c r="P120" s="284"/>
      <c r="Q120" s="88">
        <v>45148</v>
      </c>
      <c r="R120" s="49">
        <f t="shared" si="69"/>
        <v>2708</v>
      </c>
      <c r="S120" s="92"/>
      <c r="V120" s="28">
        <f t="shared" si="55"/>
        <v>42917</v>
      </c>
      <c r="W120" s="91">
        <v>14052</v>
      </c>
      <c r="X120" s="49">
        <f t="shared" si="70"/>
        <v>787</v>
      </c>
      <c r="Y120" s="92"/>
      <c r="AA120" s="34">
        <f t="shared" si="56"/>
        <v>42917</v>
      </c>
      <c r="AB120" s="88">
        <v>43230</v>
      </c>
      <c r="AC120" s="49">
        <f t="shared" si="71"/>
        <v>4040</v>
      </c>
      <c r="AD120" s="92"/>
      <c r="AF120" s="34">
        <f t="shared" si="57"/>
        <v>42917</v>
      </c>
      <c r="AG120" s="88">
        <v>46267</v>
      </c>
      <c r="AH120" s="49">
        <f t="shared" si="72"/>
        <v>675</v>
      </c>
      <c r="AI120" s="92"/>
      <c r="AK120" s="28">
        <f t="shared" si="58"/>
        <v>42917</v>
      </c>
      <c r="AL120" s="105">
        <v>23500</v>
      </c>
      <c r="AM120" s="49">
        <f t="shared" si="66"/>
        <v>2450</v>
      </c>
      <c r="AN120" s="92"/>
      <c r="AO120" s="216"/>
      <c r="AP120" s="216"/>
      <c r="AV120" s="183">
        <f>AL120-AL111</f>
        <v>2032</v>
      </c>
      <c r="AW120" s="180">
        <v>14</v>
      </c>
      <c r="AY120" s="179">
        <f>ROUND(AW120*65,2)</f>
        <v>910</v>
      </c>
    </row>
    <row r="121" spans="3:51" x14ac:dyDescent="0.25">
      <c r="E121" s="54"/>
      <c r="F121" s="54"/>
      <c r="G121" s="54">
        <f>SUM(G106:G120)</f>
        <v>11628</v>
      </c>
      <c r="I121" s="28">
        <f t="shared" si="53"/>
        <v>0</v>
      </c>
      <c r="J121" s="28"/>
      <c r="K121" s="54"/>
      <c r="L121" s="54"/>
      <c r="M121" s="54">
        <f>SUM(M106:M120)</f>
        <v>-289</v>
      </c>
      <c r="O121" s="28">
        <f t="shared" si="54"/>
        <v>0</v>
      </c>
      <c r="P121" s="284"/>
      <c r="Q121" s="54"/>
      <c r="R121" s="54"/>
      <c r="S121" s="54">
        <f>SUM(S106:S120)</f>
        <v>3153</v>
      </c>
      <c r="V121" s="28">
        <f t="shared" si="55"/>
        <v>0</v>
      </c>
      <c r="W121" s="54"/>
      <c r="X121" s="54"/>
      <c r="Y121" s="54">
        <f>SUM(Y106:Y120)</f>
        <v>849</v>
      </c>
      <c r="AA121" s="34">
        <f t="shared" si="56"/>
        <v>0</v>
      </c>
      <c r="AB121" s="54"/>
      <c r="AC121" s="54"/>
      <c r="AD121" s="54">
        <f>SUM(AD106:AD120)</f>
        <v>4100</v>
      </c>
      <c r="AF121" s="34">
        <f t="shared" si="57"/>
        <v>0</v>
      </c>
      <c r="AG121" s="102"/>
      <c r="AH121" s="102"/>
      <c r="AI121" s="54">
        <f>SUM(AI106:AI120)</f>
        <v>676</v>
      </c>
      <c r="AK121" s="28">
        <f t="shared" si="58"/>
        <v>0</v>
      </c>
      <c r="AL121" s="54"/>
      <c r="AM121" s="54"/>
      <c r="AN121" s="54">
        <f>SUM(AN106:AN120)</f>
        <v>3300</v>
      </c>
      <c r="AO121" s="54"/>
      <c r="AP121" s="54"/>
    </row>
    <row r="122" spans="3:51" x14ac:dyDescent="0.25">
      <c r="E122" s="54"/>
      <c r="F122" s="54"/>
      <c r="G122" s="54"/>
      <c r="I122" s="28"/>
      <c r="J122" s="28"/>
      <c r="K122" s="54"/>
      <c r="L122" s="54"/>
      <c r="M122" s="54"/>
      <c r="O122" s="28"/>
      <c r="P122" s="284"/>
      <c r="Q122" s="54"/>
      <c r="R122" s="54"/>
      <c r="S122" s="54"/>
      <c r="V122" s="28"/>
      <c r="W122" s="54"/>
      <c r="X122" s="54"/>
      <c r="Y122" s="54"/>
      <c r="AA122" s="34"/>
      <c r="AB122" s="54"/>
      <c r="AC122" s="54"/>
      <c r="AD122" s="54"/>
      <c r="AF122" s="34"/>
      <c r="AG122" s="102"/>
      <c r="AH122" s="102"/>
      <c r="AI122" s="54"/>
      <c r="AK122" s="28"/>
      <c r="AL122" s="54"/>
      <c r="AM122" s="54"/>
      <c r="AN122" s="54"/>
      <c r="AO122" s="54"/>
      <c r="AP122" s="54"/>
    </row>
    <row r="123" spans="3:51" x14ac:dyDescent="0.25">
      <c r="C123" s="1" t="s">
        <v>27</v>
      </c>
      <c r="E123" s="106">
        <f>E120-E108</f>
        <v>11628</v>
      </c>
      <c r="F123" s="54"/>
      <c r="G123" s="54"/>
      <c r="I123" s="28"/>
      <c r="J123" s="28"/>
      <c r="K123" s="106">
        <f>K120-K108</f>
        <v>-110</v>
      </c>
      <c r="L123" s="54"/>
      <c r="M123" s="54"/>
      <c r="O123" s="28"/>
      <c r="P123" s="284"/>
      <c r="Q123" s="106">
        <f>Q120-Q108</f>
        <v>2884</v>
      </c>
      <c r="R123" s="54"/>
      <c r="S123" s="54"/>
      <c r="V123" s="28"/>
      <c r="W123" s="106">
        <f>MAX(W110:W120)-W108</f>
        <v>800</v>
      </c>
      <c r="X123" s="54"/>
      <c r="Y123" s="54"/>
      <c r="AA123" s="34"/>
      <c r="AB123" s="106">
        <f>MAX(AB110:AB120)-AB108</f>
        <v>4065</v>
      </c>
      <c r="AC123" s="54"/>
      <c r="AD123" s="54"/>
      <c r="AF123" s="34"/>
      <c r="AG123" s="102"/>
      <c r="AH123" s="102"/>
      <c r="AI123" s="54"/>
      <c r="AK123" s="28"/>
      <c r="AL123" s="54"/>
      <c r="AM123" s="54"/>
      <c r="AN123" s="54"/>
      <c r="AO123" s="54"/>
      <c r="AP123" s="54"/>
    </row>
    <row r="124" spans="3:51" x14ac:dyDescent="0.25">
      <c r="E124" s="54"/>
      <c r="F124" s="54"/>
      <c r="G124" s="54"/>
      <c r="I124" s="28"/>
      <c r="J124" s="28"/>
      <c r="K124" s="54"/>
      <c r="L124" s="54"/>
      <c r="M124" s="54"/>
      <c r="O124" s="28"/>
      <c r="P124" s="284"/>
      <c r="Q124" s="54"/>
      <c r="R124" s="54"/>
      <c r="S124" s="54"/>
      <c r="V124" s="28"/>
      <c r="W124" s="54"/>
      <c r="X124" s="54"/>
      <c r="Y124" s="54"/>
      <c r="AA124" s="34"/>
      <c r="AB124" s="54"/>
      <c r="AC124" s="54"/>
      <c r="AD124" s="54"/>
      <c r="AF124" s="34"/>
      <c r="AG124" s="102"/>
      <c r="AH124" s="102"/>
      <c r="AI124" s="54"/>
      <c r="AK124" s="28"/>
      <c r="AL124" s="54"/>
      <c r="AM124" s="54"/>
      <c r="AN124" s="54"/>
      <c r="AO124" s="54"/>
      <c r="AP124" s="54"/>
    </row>
    <row r="125" spans="3:51" x14ac:dyDescent="0.25">
      <c r="E125" s="54"/>
      <c r="F125" s="107"/>
      <c r="G125" s="54"/>
      <c r="I125" s="28"/>
      <c r="J125" s="28"/>
      <c r="K125" s="54"/>
      <c r="L125" s="54"/>
      <c r="M125" s="54"/>
      <c r="O125" s="28"/>
      <c r="P125" s="284"/>
      <c r="Q125" s="54"/>
      <c r="R125" s="54"/>
      <c r="S125" s="54"/>
      <c r="V125" s="28"/>
      <c r="W125" s="54"/>
      <c r="X125" s="54"/>
      <c r="Y125" s="54"/>
      <c r="AA125" s="34"/>
      <c r="AB125" s="54"/>
      <c r="AC125" s="54"/>
      <c r="AD125" s="54"/>
      <c r="AF125" s="34"/>
      <c r="AG125" s="102"/>
      <c r="AH125" s="102"/>
      <c r="AI125" s="54"/>
      <c r="AK125" s="28"/>
      <c r="AL125" s="54"/>
      <c r="AM125" s="54"/>
      <c r="AN125" s="54"/>
      <c r="AO125" s="54"/>
      <c r="AP125" s="54"/>
    </row>
    <row r="126" spans="3:51" x14ac:dyDescent="0.25">
      <c r="AL126" s="54"/>
      <c r="AM126" s="54"/>
      <c r="AN126" s="54"/>
      <c r="AO126" s="54"/>
      <c r="AP126" s="54"/>
    </row>
    <row r="127" spans="3:51" x14ac:dyDescent="0.25">
      <c r="E127" s="2"/>
      <c r="F127" s="3" t="s">
        <v>12</v>
      </c>
      <c r="G127" s="4"/>
      <c r="K127" s="5"/>
      <c r="L127" s="6" t="s">
        <v>13</v>
      </c>
      <c r="M127" s="7"/>
      <c r="Q127" s="8"/>
      <c r="R127" s="9" t="s">
        <v>14</v>
      </c>
      <c r="S127" s="10"/>
      <c r="W127" s="5"/>
      <c r="X127" s="6" t="s">
        <v>11</v>
      </c>
      <c r="Y127" s="7"/>
      <c r="AB127" s="8"/>
      <c r="AC127" s="9" t="s">
        <v>15</v>
      </c>
      <c r="AD127" s="10"/>
      <c r="AG127" s="12"/>
      <c r="AH127" s="13" t="s">
        <v>16</v>
      </c>
      <c r="AI127" s="14"/>
      <c r="AL127" s="15"/>
      <c r="AM127" s="16" t="s">
        <v>17</v>
      </c>
      <c r="AN127" s="17"/>
      <c r="AO127" s="212"/>
      <c r="AP127" s="212"/>
    </row>
    <row r="129" spans="3:51" x14ac:dyDescent="0.25">
      <c r="C129" s="1" t="s">
        <v>18</v>
      </c>
      <c r="E129" s="96" t="s">
        <v>25</v>
      </c>
      <c r="F129" s="97" t="s">
        <v>1</v>
      </c>
      <c r="G129" s="98" t="s">
        <v>2</v>
      </c>
      <c r="H129" s="108" t="s">
        <v>29</v>
      </c>
      <c r="I129" s="28" t="str">
        <f>C129</f>
        <v xml:space="preserve">  </v>
      </c>
      <c r="J129" s="28"/>
      <c r="K129" s="96" t="str">
        <f>E129</f>
        <v>2017/2018</v>
      </c>
      <c r="L129" s="97" t="s">
        <v>1</v>
      </c>
      <c r="M129" s="98" t="s">
        <v>2</v>
      </c>
      <c r="N129" s="108" t="s">
        <v>29</v>
      </c>
      <c r="O129" s="28" t="str">
        <f>C129</f>
        <v xml:space="preserve">  </v>
      </c>
      <c r="P129" s="284"/>
      <c r="Q129" s="63" t="str">
        <f>E129</f>
        <v>2017/2018</v>
      </c>
      <c r="R129" s="64" t="s">
        <v>1</v>
      </c>
      <c r="S129" s="65" t="s">
        <v>2</v>
      </c>
      <c r="T129" s="108" t="s">
        <v>29</v>
      </c>
      <c r="U129" s="108"/>
      <c r="V129" s="28" t="str">
        <f>C129</f>
        <v xml:space="preserve">  </v>
      </c>
      <c r="W129" s="96" t="str">
        <f>E129</f>
        <v>2017/2018</v>
      </c>
      <c r="X129" s="97" t="s">
        <v>1</v>
      </c>
      <c r="Y129" s="98" t="s">
        <v>2</v>
      </c>
      <c r="Z129" s="108" t="s">
        <v>29</v>
      </c>
      <c r="AA129" s="34" t="str">
        <f>C129</f>
        <v xml:space="preserve">  </v>
      </c>
      <c r="AB129" s="63" t="str">
        <f>E129</f>
        <v>2017/2018</v>
      </c>
      <c r="AC129" s="64" t="s">
        <v>1</v>
      </c>
      <c r="AD129" s="65" t="s">
        <v>2</v>
      </c>
      <c r="AE129" s="108" t="s">
        <v>29</v>
      </c>
      <c r="AF129" s="34" t="str">
        <f>C129</f>
        <v xml:space="preserve">  </v>
      </c>
      <c r="AG129" s="99" t="str">
        <f>E129</f>
        <v>2017/2018</v>
      </c>
      <c r="AH129" s="64" t="s">
        <v>1</v>
      </c>
      <c r="AI129" s="100" t="s">
        <v>2</v>
      </c>
      <c r="AJ129" s="108" t="s">
        <v>29</v>
      </c>
      <c r="AK129" s="28" t="str">
        <f>C129</f>
        <v xml:space="preserve">  </v>
      </c>
      <c r="AL129" s="63" t="str">
        <f>E129</f>
        <v>2017/2018</v>
      </c>
      <c r="AM129" s="64" t="s">
        <v>1</v>
      </c>
      <c r="AN129" s="65" t="s">
        <v>2</v>
      </c>
      <c r="AO129" s="215"/>
      <c r="AP129" s="215"/>
      <c r="AQ129" s="108" t="s">
        <v>29</v>
      </c>
      <c r="AR129" s="108"/>
      <c r="AS129" s="108"/>
    </row>
    <row r="130" spans="3:51" x14ac:dyDescent="0.25">
      <c r="C130" s="28">
        <v>42552</v>
      </c>
      <c r="D130" s="28"/>
      <c r="E130" s="66">
        <f>E120</f>
        <v>158594</v>
      </c>
      <c r="F130" s="67"/>
      <c r="G130" s="68">
        <f>IF(E131&lt;&gt;0,E131-E130,0)</f>
        <v>0</v>
      </c>
      <c r="H130" s="109">
        <f>G106</f>
        <v>0</v>
      </c>
      <c r="I130" s="28">
        <f>C130</f>
        <v>42552</v>
      </c>
      <c r="J130" s="28"/>
      <c r="K130" s="69">
        <f>K120</f>
        <v>48641</v>
      </c>
      <c r="L130" s="67"/>
      <c r="M130" s="68">
        <f>IF(K131&lt;&gt;0,K131-K130,0)</f>
        <v>23</v>
      </c>
      <c r="N130" s="109">
        <f>M106</f>
        <v>-110</v>
      </c>
      <c r="O130" s="28">
        <f>C130</f>
        <v>42552</v>
      </c>
      <c r="P130" s="284"/>
      <c r="Q130" s="71">
        <f>Q120</f>
        <v>45148</v>
      </c>
      <c r="R130" s="67"/>
      <c r="S130" s="68">
        <f>IF(Q131&lt;&gt;0,Q131-Q130,0)</f>
        <v>94</v>
      </c>
      <c r="T130" s="109">
        <f>S106</f>
        <v>269</v>
      </c>
      <c r="U130" s="109"/>
      <c r="V130" s="28">
        <f>C130</f>
        <v>42552</v>
      </c>
      <c r="W130" s="69">
        <f>W120</f>
        <v>14052</v>
      </c>
      <c r="X130" s="67"/>
      <c r="Y130" s="72">
        <f>IF(W131&lt;&gt;0,W131-W130,0)</f>
        <v>55</v>
      </c>
      <c r="Z130" s="109">
        <f>Y106</f>
        <v>22</v>
      </c>
      <c r="AA130" s="34">
        <f>C130</f>
        <v>42552</v>
      </c>
      <c r="AB130" s="71">
        <f>AB120</f>
        <v>43230</v>
      </c>
      <c r="AC130" s="67"/>
      <c r="AD130" s="72">
        <f>IF(AB131&lt;&gt;0,AB131-AB130,0)</f>
        <v>32</v>
      </c>
      <c r="AE130" s="109">
        <f>AD106</f>
        <v>25</v>
      </c>
      <c r="AF130" s="34">
        <f>C130</f>
        <v>42552</v>
      </c>
      <c r="AG130" s="73">
        <v>46267</v>
      </c>
      <c r="AH130" s="67"/>
      <c r="AI130" s="74">
        <f>IF(AG131&lt;&gt;0,AG131-AG130,"")</f>
        <v>0</v>
      </c>
      <c r="AJ130" s="109">
        <f>AI106</f>
        <v>0</v>
      </c>
      <c r="AK130" s="28">
        <f>C130</f>
        <v>42552</v>
      </c>
      <c r="AL130" s="75">
        <f>AL120</f>
        <v>23500</v>
      </c>
      <c r="AM130" s="67">
        <f>IF(AN133&lt;&gt;0,AL130-AL120,"")</f>
        <v>0</v>
      </c>
      <c r="AN130" s="72">
        <f>IF(AL131&lt;&gt;0,AL131-AL130,0)</f>
        <v>550</v>
      </c>
      <c r="AO130" s="216"/>
      <c r="AP130" s="216"/>
      <c r="AQ130" s="109">
        <f>AN106</f>
        <v>400</v>
      </c>
      <c r="AR130" s="109"/>
      <c r="AS130" s="109"/>
    </row>
    <row r="131" spans="3:51" x14ac:dyDescent="0.25">
      <c r="C131" s="28">
        <v>42583</v>
      </c>
      <c r="D131" s="28"/>
      <c r="E131" s="85">
        <v>158594</v>
      </c>
      <c r="F131" s="79"/>
      <c r="G131" s="80">
        <f>IF(E133&lt;&gt;0,E133-E131,0)</f>
        <v>0</v>
      </c>
      <c r="H131" s="109">
        <f>G107</f>
        <v>0</v>
      </c>
      <c r="I131" s="28">
        <f>C131</f>
        <v>42583</v>
      </c>
      <c r="J131" s="28"/>
      <c r="K131" s="86">
        <v>48664</v>
      </c>
      <c r="L131" s="79"/>
      <c r="M131" s="80">
        <f>IF(K133&lt;&gt;0,K133-K131,0)</f>
        <v>16</v>
      </c>
      <c r="N131" s="109">
        <f>M107</f>
        <v>-135</v>
      </c>
      <c r="O131" s="28">
        <f>C131</f>
        <v>42583</v>
      </c>
      <c r="P131" s="284"/>
      <c r="Q131" s="85">
        <v>45242</v>
      </c>
      <c r="R131" s="79"/>
      <c r="S131" s="80">
        <f>IF(Q133&lt;&gt;0,Q133-Q131,0)</f>
        <v>160</v>
      </c>
      <c r="T131" s="109">
        <f>S107</f>
        <v>176</v>
      </c>
      <c r="U131" s="109"/>
      <c r="V131" s="28">
        <f>C131</f>
        <v>42583</v>
      </c>
      <c r="W131" s="86">
        <v>14107</v>
      </c>
      <c r="X131" s="79"/>
      <c r="Y131" s="74">
        <f>IF(W133&lt;&gt;0,W133-W131,0)</f>
        <v>46</v>
      </c>
      <c r="Z131" s="109">
        <f>Y107</f>
        <v>40</v>
      </c>
      <c r="AA131" s="34">
        <f>C131</f>
        <v>42583</v>
      </c>
      <c r="AB131" s="85">
        <v>43262</v>
      </c>
      <c r="AC131" s="79"/>
      <c r="AD131" s="74">
        <f>IF(AB133&lt;&gt;0,AB133-AB131,0)</f>
        <v>37</v>
      </c>
      <c r="AE131" s="109">
        <f>AD107</f>
        <v>35</v>
      </c>
      <c r="AF131" s="34">
        <f>C131</f>
        <v>42583</v>
      </c>
      <c r="AG131" s="85">
        <v>46267</v>
      </c>
      <c r="AH131" s="79"/>
      <c r="AI131" s="74">
        <f>IF(AG133&lt;&gt;0,AG133-AG131,"")</f>
        <v>0</v>
      </c>
      <c r="AJ131" s="109">
        <f>AI107</f>
        <v>1</v>
      </c>
      <c r="AK131" s="28">
        <f>C131</f>
        <v>42583</v>
      </c>
      <c r="AL131" s="85">
        <v>24050</v>
      </c>
      <c r="AM131" s="79">
        <f>IF(AN133&lt;&gt;0,AL131-AL120,"")</f>
        <v>550</v>
      </c>
      <c r="AN131" s="74">
        <f>IF(AL133&lt;&gt;0,AL133-AL131,0)</f>
        <v>341</v>
      </c>
      <c r="AO131" s="216"/>
      <c r="AP131" s="216"/>
      <c r="AQ131" s="109">
        <f>AN107</f>
        <v>450</v>
      </c>
      <c r="AR131" s="109"/>
      <c r="AS131" s="109"/>
    </row>
    <row r="132" spans="3:51" x14ac:dyDescent="0.25">
      <c r="C132" s="76" t="s">
        <v>19</v>
      </c>
      <c r="D132" s="77">
        <v>42965</v>
      </c>
      <c r="E132" s="78">
        <v>158594</v>
      </c>
      <c r="F132" s="79" t="str">
        <f>IF(G132&lt;&gt;0,G132+F131,"")</f>
        <v/>
      </c>
      <c r="G132" s="80">
        <v>0</v>
      </c>
      <c r="I132" s="101" t="str">
        <f>C132</f>
        <v>ELECTRABEL</v>
      </c>
      <c r="J132" s="101"/>
      <c r="K132" s="81">
        <v>48712</v>
      </c>
      <c r="L132" s="79" t="str">
        <f>IF(M132&lt;&gt;0,M132+L131,"")</f>
        <v/>
      </c>
      <c r="M132" s="80"/>
      <c r="N132" s="108"/>
      <c r="O132" s="101" t="str">
        <f>C132</f>
        <v>ELECTRABEL</v>
      </c>
      <c r="P132" s="288"/>
      <c r="Q132" s="82">
        <v>45286</v>
      </c>
      <c r="R132" s="79" t="str">
        <f>IF(S132&lt;&gt;0,S132+R131,"")</f>
        <v/>
      </c>
      <c r="S132" s="80"/>
      <c r="T132" s="108"/>
      <c r="U132" s="108"/>
      <c r="V132" s="101" t="str">
        <f>C132</f>
        <v>ELECTRABEL</v>
      </c>
      <c r="W132" s="81">
        <v>14133</v>
      </c>
      <c r="X132" s="79" t="str">
        <f>IF(Y132&lt;&gt;0,Y132+X131,"")</f>
        <v/>
      </c>
      <c r="Y132" s="74"/>
      <c r="Z132" s="108"/>
      <c r="AA132" s="77" t="str">
        <f>C132</f>
        <v>ELECTRABEL</v>
      </c>
      <c r="AB132" s="82">
        <v>43279</v>
      </c>
      <c r="AC132" s="79" t="str">
        <f>IF(AD132&lt;&gt;0,AD132+AC131,"")</f>
        <v/>
      </c>
      <c r="AD132" s="74"/>
      <c r="AE132" s="108"/>
      <c r="AF132" s="77" t="str">
        <f>C132</f>
        <v>ELECTRABEL</v>
      </c>
      <c r="AG132" s="78">
        <v>46267</v>
      </c>
      <c r="AH132" s="79" t="str">
        <f>IF(AI132&lt;&gt;0,AI132+AH131,"")</f>
        <v/>
      </c>
      <c r="AI132" s="74"/>
      <c r="AJ132" s="108"/>
      <c r="AK132" s="28" t="str">
        <f>C132</f>
        <v>ELECTRABEL</v>
      </c>
      <c r="AL132" s="162">
        <v>24050</v>
      </c>
      <c r="AM132" s="79" t="str">
        <f>IF(AN132&lt;&gt;0,AN132+AM131,"")</f>
        <v/>
      </c>
      <c r="AN132" s="74"/>
      <c r="AO132" s="216"/>
      <c r="AP132" s="216"/>
      <c r="AQ132" s="108"/>
      <c r="AR132" s="108"/>
      <c r="AS132" s="108"/>
    </row>
    <row r="133" spans="3:51" x14ac:dyDescent="0.25">
      <c r="C133" s="28">
        <v>42614</v>
      </c>
      <c r="D133" s="28"/>
      <c r="E133" s="85">
        <v>158594</v>
      </c>
      <c r="F133" s="79" t="str">
        <f>IF(G133&lt;&gt;0,E134-E132,"")</f>
        <v/>
      </c>
      <c r="G133" s="80">
        <v>0</v>
      </c>
      <c r="H133" s="109">
        <f>G110</f>
        <v>0</v>
      </c>
      <c r="I133" s="28">
        <f t="shared" ref="I133:I185" si="73">C133</f>
        <v>42614</v>
      </c>
      <c r="J133" s="28"/>
      <c r="K133" s="86">
        <v>48680</v>
      </c>
      <c r="L133" s="79">
        <f>IF(M133&lt;&gt;0,K134-K132,"")</f>
        <v>-44</v>
      </c>
      <c r="M133" s="80">
        <f>IF(K134&lt;&gt;0,K134-K133,0)</f>
        <v>-12</v>
      </c>
      <c r="N133" s="109">
        <f>M110</f>
        <v>-73</v>
      </c>
      <c r="O133" s="28">
        <f t="shared" ref="O133:O185" si="74">C133</f>
        <v>42614</v>
      </c>
      <c r="P133" s="284"/>
      <c r="Q133" s="85">
        <v>45402</v>
      </c>
      <c r="R133" s="79">
        <f>IF(S133&lt;&gt;0,Q134-Q132,"")</f>
        <v>341</v>
      </c>
      <c r="S133" s="80">
        <f>IF(Q134&lt;&gt;0,Q134-Q133,0)</f>
        <v>225</v>
      </c>
      <c r="T133" s="109">
        <f>S110</f>
        <v>101</v>
      </c>
      <c r="U133" s="109"/>
      <c r="V133" s="28">
        <f t="shared" ref="V133:V185" si="75">C133</f>
        <v>42614</v>
      </c>
      <c r="W133" s="86">
        <v>14153</v>
      </c>
      <c r="X133" s="79">
        <f>IF(Y133&lt;&gt;0,W134-W132,"")</f>
        <v>58</v>
      </c>
      <c r="Y133" s="74">
        <f>IF(W134&lt;&gt;0,W134-W133,0)</f>
        <v>38</v>
      </c>
      <c r="Z133" s="109">
        <f>Y110</f>
        <v>43</v>
      </c>
      <c r="AA133" s="34">
        <f t="shared" ref="AA133:AA185" si="76">C133</f>
        <v>42614</v>
      </c>
      <c r="AB133" s="85">
        <v>43299</v>
      </c>
      <c r="AC133" s="79">
        <f>IF(AD133&lt;&gt;0,AB134-AB132,"")</f>
        <v>87</v>
      </c>
      <c r="AD133" s="74">
        <f>IF(AB134&lt;&gt;0,AB134-AB133,0)</f>
        <v>67</v>
      </c>
      <c r="AE133" s="109">
        <f>AD110</f>
        <v>57</v>
      </c>
      <c r="AF133" s="34">
        <f t="shared" ref="AF133:AF185" si="77">C133</f>
        <v>42614</v>
      </c>
      <c r="AG133" s="85">
        <v>46267</v>
      </c>
      <c r="AH133" s="79" t="str">
        <f>IF(AI133&lt;&gt;0,AG134-AG132,"")</f>
        <v/>
      </c>
      <c r="AI133" s="74">
        <f>IF(AG134&lt;&gt;0,AG134-AG133,"")</f>
        <v>0</v>
      </c>
      <c r="AJ133" s="109">
        <f>AI110</f>
        <v>0</v>
      </c>
      <c r="AK133" s="28">
        <f t="shared" ref="AK133:AK185" si="78">C133</f>
        <v>42614</v>
      </c>
      <c r="AL133" s="85">
        <v>24391</v>
      </c>
      <c r="AM133" s="79">
        <f>IF(AN133&lt;&gt;0,AL134-AL120,"")</f>
        <v>1151</v>
      </c>
      <c r="AN133" s="74">
        <f>IF(AL134&lt;&gt;0,AL134-AL133,0)</f>
        <v>260</v>
      </c>
      <c r="AO133" s="216"/>
      <c r="AP133" s="216"/>
      <c r="AQ133" s="109">
        <f>AN110</f>
        <v>418</v>
      </c>
      <c r="AR133" s="109"/>
      <c r="AS133" s="109"/>
    </row>
    <row r="134" spans="3:51" x14ac:dyDescent="0.25">
      <c r="C134" s="28">
        <v>42644</v>
      </c>
      <c r="D134" s="28"/>
      <c r="E134" s="85">
        <v>158594</v>
      </c>
      <c r="F134" s="79">
        <f>IF(G134&lt;&gt;0,E135-E132,"")</f>
        <v>102</v>
      </c>
      <c r="G134" s="80">
        <f>IF(E136&lt;&gt;0,E136-E134,0)</f>
        <v>212</v>
      </c>
      <c r="H134" s="109">
        <f>G111</f>
        <v>712</v>
      </c>
      <c r="I134" s="28">
        <f t="shared" si="73"/>
        <v>42644</v>
      </c>
      <c r="J134" s="28"/>
      <c r="K134" s="86">
        <v>48668</v>
      </c>
      <c r="L134" s="79">
        <f>IF(M134&lt;&gt;0,K135-K132,"")</f>
        <v>-15</v>
      </c>
      <c r="M134" s="80">
        <f>IF(K136&lt;&gt;0,K136-K134,0)</f>
        <v>65</v>
      </c>
      <c r="N134" s="109">
        <f>M111</f>
        <v>32</v>
      </c>
      <c r="O134" s="28">
        <f t="shared" si="74"/>
        <v>42644</v>
      </c>
      <c r="P134" s="284"/>
      <c r="Q134" s="85">
        <v>45627</v>
      </c>
      <c r="R134" s="79">
        <f>IF(S134&lt;&gt;0,Q135-Q132,"")</f>
        <v>565</v>
      </c>
      <c r="S134" s="80">
        <f>IF(Q136&lt;&gt;0,Q136-Q134,0)</f>
        <v>348</v>
      </c>
      <c r="T134" s="109">
        <f>S111</f>
        <v>284</v>
      </c>
      <c r="U134" s="109"/>
      <c r="V134" s="28">
        <f t="shared" si="75"/>
        <v>42644</v>
      </c>
      <c r="W134" s="86">
        <v>14191</v>
      </c>
      <c r="X134" s="79">
        <f>IF(Y134&lt;&gt;0,W135-W132,"")</f>
        <v>88</v>
      </c>
      <c r="Y134" s="74">
        <f>IF(W136&lt;&gt;0,W136-W134,0)</f>
        <v>43</v>
      </c>
      <c r="Z134" s="109">
        <f>Y111</f>
        <v>36</v>
      </c>
      <c r="AA134" s="34">
        <f t="shared" si="76"/>
        <v>42644</v>
      </c>
      <c r="AB134" s="85">
        <v>43366</v>
      </c>
      <c r="AC134" s="79">
        <f>IF(AD134&lt;&gt;0,AB135-AB132,"")</f>
        <v>205</v>
      </c>
      <c r="AD134" s="74">
        <f>IF(AB136&lt;&gt;0,AB136-AB134,0)</f>
        <v>199</v>
      </c>
      <c r="AE134" s="109">
        <f>AD111</f>
        <v>286</v>
      </c>
      <c r="AF134" s="34">
        <f t="shared" si="77"/>
        <v>42644</v>
      </c>
      <c r="AG134" s="85">
        <v>46267</v>
      </c>
      <c r="AH134" s="79">
        <f>IF(AI134&lt;&gt;0,AG135-AG132,"")</f>
        <v>0</v>
      </c>
      <c r="AI134" s="74">
        <f>IF(AG136&lt;&gt;0,AG136-AG134,"")</f>
        <v>1</v>
      </c>
      <c r="AJ134" s="109">
        <f>AI111</f>
        <v>1</v>
      </c>
      <c r="AK134" s="28">
        <f t="shared" si="78"/>
        <v>42644</v>
      </c>
      <c r="AL134" s="85">
        <v>24651</v>
      </c>
      <c r="AM134" s="79">
        <f>IF(AN134&lt;&gt;0,AL135-AL120,"")</f>
        <v>1151</v>
      </c>
      <c r="AN134" s="74">
        <f>IF(AL136&lt;&gt;0,AL136-AL134,0)</f>
        <v>191</v>
      </c>
      <c r="AO134" s="216"/>
      <c r="AP134" s="216"/>
      <c r="AQ134" s="109">
        <f>AN111</f>
        <v>193</v>
      </c>
      <c r="AR134" s="109"/>
      <c r="AS134" s="109"/>
    </row>
    <row r="135" spans="3:51" x14ac:dyDescent="0.25">
      <c r="C135" s="76" t="s">
        <v>28</v>
      </c>
      <c r="D135" s="77">
        <v>43026</v>
      </c>
      <c r="E135" s="78">
        <v>158696</v>
      </c>
      <c r="F135" s="79">
        <f t="shared" ref="F135" si="79">IF(G135&lt;&gt;0,G135+F134,0)</f>
        <v>0</v>
      </c>
      <c r="G135" s="80">
        <v>0</v>
      </c>
      <c r="I135" s="101" t="str">
        <f>C135</f>
        <v>OCTA+</v>
      </c>
      <c r="J135" s="101"/>
      <c r="K135" s="81">
        <v>48697</v>
      </c>
      <c r="L135" s="79">
        <f t="shared" ref="L135" si="80">IF(M135&lt;&gt;0,M135+L134,0)</f>
        <v>0</v>
      </c>
      <c r="M135" s="80"/>
      <c r="N135" s="108"/>
      <c r="O135" s="101" t="str">
        <f>C135</f>
        <v>OCTA+</v>
      </c>
      <c r="P135" s="288"/>
      <c r="Q135" s="82">
        <v>45851</v>
      </c>
      <c r="R135" s="79">
        <f t="shared" ref="R135" si="81">IF(S135&lt;&gt;0,S135+R134,0)</f>
        <v>0</v>
      </c>
      <c r="S135" s="80"/>
      <c r="T135" s="108"/>
      <c r="U135" s="108"/>
      <c r="V135" s="101" t="str">
        <f>C135</f>
        <v>OCTA+</v>
      </c>
      <c r="W135" s="81">
        <v>14221</v>
      </c>
      <c r="X135" s="79">
        <f t="shared" ref="X135" si="82">IF(Y135&lt;&gt;0,Y135+X134,0)</f>
        <v>0</v>
      </c>
      <c r="Y135" s="74"/>
      <c r="Z135" s="108"/>
      <c r="AA135" s="77" t="str">
        <f>C135</f>
        <v>OCTA+</v>
      </c>
      <c r="AB135" s="82">
        <v>43484</v>
      </c>
      <c r="AC135" s="79">
        <f t="shared" ref="AC135" si="83">IF(AD135&lt;&gt;0,AD135+AC134,0)</f>
        <v>0</v>
      </c>
      <c r="AD135" s="74"/>
      <c r="AE135" s="108"/>
      <c r="AF135" s="77" t="str">
        <f>C135</f>
        <v>OCTA+</v>
      </c>
      <c r="AG135" s="78">
        <v>46267</v>
      </c>
      <c r="AH135" s="79">
        <f t="shared" ref="AH135" si="84">IF(AI135&lt;&gt;0,AI135+AH134,0)</f>
        <v>0</v>
      </c>
      <c r="AI135" s="74"/>
      <c r="AJ135" s="108"/>
      <c r="AK135" s="28"/>
      <c r="AL135" s="162">
        <v>24651</v>
      </c>
      <c r="AM135" s="79"/>
      <c r="AN135" s="74"/>
      <c r="AO135" s="216"/>
      <c r="AP135" s="216"/>
      <c r="AQ135" s="108"/>
      <c r="AR135" s="108"/>
      <c r="AS135" s="108"/>
    </row>
    <row r="136" spans="3:51" x14ac:dyDescent="0.25">
      <c r="C136" s="28">
        <v>42675</v>
      </c>
      <c r="D136" s="28"/>
      <c r="E136" s="85">
        <v>158806</v>
      </c>
      <c r="F136" s="79">
        <f>IF(G136&lt;&gt;0,E137-E135,"")</f>
        <v>1566</v>
      </c>
      <c r="G136" s="80">
        <f t="shared" ref="G136:G142" si="85">IF(E137&lt;&gt;0,E137-E136,0)</f>
        <v>1456</v>
      </c>
      <c r="H136" s="109">
        <f>G112</f>
        <v>1556</v>
      </c>
      <c r="I136" s="28">
        <f t="shared" si="73"/>
        <v>42675</v>
      </c>
      <c r="J136" s="28"/>
      <c r="K136" s="86">
        <v>48733</v>
      </c>
      <c r="L136" s="79">
        <f>IF(M136&lt;&gt;0,K137-K135,"")</f>
        <v>184</v>
      </c>
      <c r="M136" s="80">
        <f t="shared" ref="M136:M142" si="86">IF(K137&lt;&gt;0,K137-K136,0)</f>
        <v>148</v>
      </c>
      <c r="N136" s="109">
        <f>M112</f>
        <v>97</v>
      </c>
      <c r="O136" s="28">
        <f t="shared" si="74"/>
        <v>42675</v>
      </c>
      <c r="P136" s="284"/>
      <c r="Q136" s="85">
        <v>45975</v>
      </c>
      <c r="R136" s="79">
        <f>IF(S136&lt;&gt;0,Q137-Q135,"")</f>
        <v>629</v>
      </c>
      <c r="S136" s="80">
        <f t="shared" ref="S136:S142" si="87">IF(Q137&lt;&gt;0,Q137-Q136,0)</f>
        <v>505</v>
      </c>
      <c r="T136" s="109">
        <f>S112</f>
        <v>337</v>
      </c>
      <c r="U136" s="109"/>
      <c r="V136" s="28">
        <f t="shared" si="75"/>
        <v>42675</v>
      </c>
      <c r="W136" s="86">
        <v>14234</v>
      </c>
      <c r="X136" s="79">
        <f>IF(Y136&lt;&gt;0,W137-W135,"")</f>
        <v>79</v>
      </c>
      <c r="Y136" s="74">
        <f t="shared" ref="Y136:Y142" si="88">IF(W137&lt;&gt;0,W137-W136,0)</f>
        <v>66</v>
      </c>
      <c r="Z136" s="109">
        <f>Y112</f>
        <v>44</v>
      </c>
      <c r="AA136" s="34">
        <f t="shared" si="76"/>
        <v>42675</v>
      </c>
      <c r="AB136" s="85">
        <v>43565</v>
      </c>
      <c r="AC136" s="79">
        <f>IF(AD136&lt;&gt;0,AB137-AB135,"")</f>
        <v>550</v>
      </c>
      <c r="AD136" s="74">
        <f t="shared" ref="AD136:AD142" si="89">IF(AB137&lt;&gt;0,AB137-AB136,0)</f>
        <v>469</v>
      </c>
      <c r="AE136" s="109">
        <f>AD112</f>
        <v>473</v>
      </c>
      <c r="AF136" s="34">
        <f t="shared" si="77"/>
        <v>42675</v>
      </c>
      <c r="AG136" s="85">
        <v>46268</v>
      </c>
      <c r="AH136" s="79">
        <f>IF(AI136&lt;&gt;0,AG137-AG135,"")</f>
        <v>38</v>
      </c>
      <c r="AI136" s="74">
        <f t="shared" ref="AI136:AI142" si="90">IF(AG137&lt;&gt;0,AG137-AG136,"")</f>
        <v>37</v>
      </c>
      <c r="AJ136" s="109">
        <f>AI112</f>
        <v>26</v>
      </c>
      <c r="AK136" s="28">
        <f t="shared" si="78"/>
        <v>42675</v>
      </c>
      <c r="AL136" s="85">
        <v>24842</v>
      </c>
      <c r="AM136" s="163">
        <f>IF(AN136&lt;&gt;0,AL137-AL120,"")</f>
        <v>1432</v>
      </c>
      <c r="AN136" s="74">
        <f t="shared" ref="AN136:AN141" si="91">IF(AL137&lt;&gt;0,AL137-AL136,0)</f>
        <v>90</v>
      </c>
      <c r="AO136" s="216"/>
      <c r="AP136" s="216"/>
      <c r="AQ136" s="109">
        <f>AN112</f>
        <v>93</v>
      </c>
      <c r="AR136" s="109"/>
      <c r="AS136" s="109"/>
    </row>
    <row r="137" spans="3:51" x14ac:dyDescent="0.25">
      <c r="C137" s="28">
        <v>42705</v>
      </c>
      <c r="D137" s="28"/>
      <c r="E137" s="85">
        <v>160262</v>
      </c>
      <c r="F137" s="79">
        <f>IF(G137&lt;&gt;0,E138-E135,"")</f>
        <v>3198</v>
      </c>
      <c r="G137" s="80">
        <f t="shared" si="85"/>
        <v>1632</v>
      </c>
      <c r="H137" s="109">
        <f t="shared" ref="H137:H143" si="92">G113</f>
        <v>2400</v>
      </c>
      <c r="I137" s="28">
        <f t="shared" si="73"/>
        <v>42705</v>
      </c>
      <c r="J137" s="28"/>
      <c r="K137" s="86">
        <v>48881</v>
      </c>
      <c r="L137" s="79">
        <f>IF(M137&lt;&gt;0,K138-K135,"")</f>
        <v>460</v>
      </c>
      <c r="M137" s="80">
        <f t="shared" si="86"/>
        <v>276</v>
      </c>
      <c r="N137" s="109">
        <f t="shared" ref="N137:N143" si="93">M113</f>
        <v>111</v>
      </c>
      <c r="O137" s="28">
        <f t="shared" si="74"/>
        <v>42705</v>
      </c>
      <c r="P137" s="284"/>
      <c r="Q137" s="85">
        <v>46480</v>
      </c>
      <c r="R137" s="79">
        <f>IF(S137&lt;&gt;0,Q138-Q135,"")</f>
        <v>1260</v>
      </c>
      <c r="S137" s="80">
        <f t="shared" si="87"/>
        <v>631</v>
      </c>
      <c r="T137" s="109">
        <f t="shared" ref="T137:T143" si="94">S113</f>
        <v>415</v>
      </c>
      <c r="U137" s="109"/>
      <c r="V137" s="28">
        <f t="shared" si="75"/>
        <v>42705</v>
      </c>
      <c r="W137" s="86">
        <v>14300</v>
      </c>
      <c r="X137" s="79">
        <f>IF(Y137&lt;&gt;0,W138-W135,"")</f>
        <v>212</v>
      </c>
      <c r="Y137" s="74">
        <f t="shared" si="88"/>
        <v>133</v>
      </c>
      <c r="Z137" s="109">
        <f t="shared" ref="Z137:Z143" si="95">Y113</f>
        <v>126</v>
      </c>
      <c r="AA137" s="34">
        <f t="shared" si="76"/>
        <v>42705</v>
      </c>
      <c r="AB137" s="85">
        <v>44034</v>
      </c>
      <c r="AC137" s="79">
        <f>IF(AD137&lt;&gt;0,AB138-AB135,"")</f>
        <v>1217</v>
      </c>
      <c r="AD137" s="74">
        <f t="shared" si="89"/>
        <v>667</v>
      </c>
      <c r="AE137" s="109">
        <f t="shared" ref="AE137:AE143" si="96">AD113</f>
        <v>736</v>
      </c>
      <c r="AF137" s="34">
        <f t="shared" si="77"/>
        <v>42705</v>
      </c>
      <c r="AG137" s="85">
        <v>46305</v>
      </c>
      <c r="AH137" s="79">
        <f>IF(AI137&lt;&gt;0,AG138-AG135,"")</f>
        <v>248</v>
      </c>
      <c r="AI137" s="74">
        <f t="shared" si="90"/>
        <v>210</v>
      </c>
      <c r="AJ137" s="109">
        <f t="shared" ref="AJ137:AJ143" si="97">AI113</f>
        <v>163</v>
      </c>
      <c r="AK137" s="28">
        <f t="shared" si="78"/>
        <v>42705</v>
      </c>
      <c r="AL137" s="82">
        <v>24932</v>
      </c>
      <c r="AM137" s="79">
        <f>IF(AN137&lt;&gt;0,AL138-AL137,"")</f>
        <v>21</v>
      </c>
      <c r="AN137" s="74">
        <f t="shared" si="91"/>
        <v>21</v>
      </c>
      <c r="AO137" s="216"/>
      <c r="AP137" s="216"/>
      <c r="AQ137" s="109">
        <f t="shared" ref="AQ137:AQ145" si="98">AN113</f>
        <v>76</v>
      </c>
      <c r="AR137" s="109"/>
      <c r="AS137" s="109"/>
      <c r="AV137" s="183">
        <f>AL137-AL120</f>
        <v>1432</v>
      </c>
      <c r="AW137" s="180">
        <v>10</v>
      </c>
      <c r="AY137" s="179">
        <f>ROUND(AW137*65.1,2)</f>
        <v>651</v>
      </c>
    </row>
    <row r="138" spans="3:51" x14ac:dyDescent="0.25">
      <c r="C138" s="28">
        <v>42736</v>
      </c>
      <c r="D138" s="28"/>
      <c r="E138" s="85">
        <v>161894</v>
      </c>
      <c r="F138" s="79">
        <f>IF(G138&lt;&gt;0,E139-E135,"")</f>
        <v>4552</v>
      </c>
      <c r="G138" s="80">
        <f t="shared" si="85"/>
        <v>1354</v>
      </c>
      <c r="H138" s="109">
        <f t="shared" si="92"/>
        <v>3120</v>
      </c>
      <c r="I138" s="28">
        <f t="shared" si="73"/>
        <v>42736</v>
      </c>
      <c r="J138" s="28"/>
      <c r="K138" s="86">
        <v>49157</v>
      </c>
      <c r="L138" s="79">
        <f>IF(M138&lt;&gt;0,K139-K135,"")</f>
        <v>695</v>
      </c>
      <c r="M138" s="80">
        <f t="shared" si="86"/>
        <v>235</v>
      </c>
      <c r="N138" s="109">
        <f t="shared" si="93"/>
        <v>119</v>
      </c>
      <c r="O138" s="28">
        <f t="shared" si="74"/>
        <v>42736</v>
      </c>
      <c r="P138" s="284"/>
      <c r="Q138" s="85">
        <v>47111</v>
      </c>
      <c r="R138" s="79">
        <f>IF(S138&lt;&gt;0,Q139-Q135,"")</f>
        <v>1828</v>
      </c>
      <c r="S138" s="80">
        <f t="shared" si="87"/>
        <v>568</v>
      </c>
      <c r="T138" s="109">
        <f t="shared" si="94"/>
        <v>485</v>
      </c>
      <c r="U138" s="109"/>
      <c r="V138" s="28">
        <f t="shared" si="75"/>
        <v>42736</v>
      </c>
      <c r="W138" s="86">
        <v>14433</v>
      </c>
      <c r="X138" s="79">
        <f>IF(Y138&lt;&gt;0,W139-W135,"")</f>
        <v>359</v>
      </c>
      <c r="Y138" s="74">
        <f t="shared" si="88"/>
        <v>147</v>
      </c>
      <c r="Z138" s="109">
        <f t="shared" si="95"/>
        <v>224</v>
      </c>
      <c r="AA138" s="34">
        <f t="shared" si="76"/>
        <v>42736</v>
      </c>
      <c r="AB138" s="85">
        <v>44701</v>
      </c>
      <c r="AC138" s="79">
        <f>IF(AD138&lt;&gt;0,AB139-AB135,"")</f>
        <v>1766</v>
      </c>
      <c r="AD138" s="74">
        <f t="shared" si="89"/>
        <v>549</v>
      </c>
      <c r="AE138" s="109">
        <f t="shared" si="96"/>
        <v>1094</v>
      </c>
      <c r="AF138" s="34">
        <f t="shared" si="77"/>
        <v>42736</v>
      </c>
      <c r="AG138" s="85">
        <v>46515</v>
      </c>
      <c r="AH138" s="79">
        <f>IF(AG139&lt;&gt;0,AG139-AG135,"")</f>
        <v>433</v>
      </c>
      <c r="AI138" s="74">
        <f t="shared" si="90"/>
        <v>185</v>
      </c>
      <c r="AJ138" s="109">
        <f t="shared" si="97"/>
        <v>419</v>
      </c>
      <c r="AK138" s="28">
        <f t="shared" si="78"/>
        <v>42736</v>
      </c>
      <c r="AL138" s="85">
        <v>24953</v>
      </c>
      <c r="AM138" s="79">
        <f>IF(AN138&lt;&gt;0,AL139-AL137,"")</f>
        <v>68</v>
      </c>
      <c r="AN138" s="74">
        <f t="shared" si="91"/>
        <v>47</v>
      </c>
      <c r="AO138" s="216"/>
      <c r="AP138" s="216"/>
      <c r="AQ138" s="109">
        <f t="shared" si="98"/>
        <v>20</v>
      </c>
      <c r="AR138" s="109"/>
      <c r="AS138" s="109"/>
    </row>
    <row r="139" spans="3:51" x14ac:dyDescent="0.25">
      <c r="C139" s="28">
        <v>42767</v>
      </c>
      <c r="D139" s="28"/>
      <c r="E139" s="85">
        <v>163248</v>
      </c>
      <c r="F139" s="79">
        <f>IF(G139&lt;&gt;0,E140-E135,"")</f>
        <v>6454</v>
      </c>
      <c r="G139" s="80">
        <f t="shared" si="85"/>
        <v>1902</v>
      </c>
      <c r="H139" s="109">
        <f t="shared" si="92"/>
        <v>2005</v>
      </c>
      <c r="I139" s="28">
        <f t="shared" si="73"/>
        <v>42767</v>
      </c>
      <c r="J139" s="28"/>
      <c r="K139" s="86">
        <v>49392</v>
      </c>
      <c r="L139" s="79">
        <f>IF(M139&lt;&gt;0,K140-K135,"")</f>
        <v>852</v>
      </c>
      <c r="M139" s="80">
        <f t="shared" si="86"/>
        <v>157</v>
      </c>
      <c r="N139" s="109">
        <f t="shared" si="93"/>
        <v>65</v>
      </c>
      <c r="O139" s="28">
        <f t="shared" si="74"/>
        <v>42767</v>
      </c>
      <c r="P139" s="284"/>
      <c r="Q139" s="85">
        <v>47679</v>
      </c>
      <c r="R139" s="79">
        <f>IF(S139&lt;&gt;0,Q140-Q135,"")</f>
        <v>2363</v>
      </c>
      <c r="S139" s="80">
        <f t="shared" si="87"/>
        <v>535</v>
      </c>
      <c r="T139" s="109">
        <f t="shared" si="94"/>
        <v>324</v>
      </c>
      <c r="U139" s="109"/>
      <c r="V139" s="28">
        <f t="shared" si="75"/>
        <v>42767</v>
      </c>
      <c r="W139" s="86">
        <v>14580</v>
      </c>
      <c r="X139" s="79">
        <f>IF(Y139&lt;&gt;0,W140-W135,"")</f>
        <v>505</v>
      </c>
      <c r="Y139" s="74">
        <f t="shared" si="88"/>
        <v>146</v>
      </c>
      <c r="Z139" s="109">
        <f t="shared" si="95"/>
        <v>76</v>
      </c>
      <c r="AA139" s="34">
        <f t="shared" si="76"/>
        <v>42767</v>
      </c>
      <c r="AB139" s="85">
        <v>45250</v>
      </c>
      <c r="AC139" s="79">
        <f>IF(AD139&lt;&gt;0,AB140-AB135,"")</f>
        <v>2700</v>
      </c>
      <c r="AD139" s="74">
        <f t="shared" si="89"/>
        <v>934</v>
      </c>
      <c r="AE139" s="109">
        <f t="shared" si="96"/>
        <v>559</v>
      </c>
      <c r="AF139" s="34">
        <f t="shared" si="77"/>
        <v>42767</v>
      </c>
      <c r="AG139" s="85">
        <v>46700</v>
      </c>
      <c r="AH139" s="79">
        <f>IF(AG140&lt;&gt;0,AG140-AG135,"")</f>
        <v>695</v>
      </c>
      <c r="AI139" s="74">
        <f t="shared" si="90"/>
        <v>262</v>
      </c>
      <c r="AJ139" s="109">
        <f t="shared" si="97"/>
        <v>62</v>
      </c>
      <c r="AK139" s="28">
        <f t="shared" si="78"/>
        <v>42767</v>
      </c>
      <c r="AL139" s="85">
        <v>25000</v>
      </c>
      <c r="AM139" s="79">
        <f>IF(AN139&lt;&gt;0,AL140-AL137,"")</f>
        <v>307</v>
      </c>
      <c r="AN139" s="74">
        <f t="shared" si="91"/>
        <v>239</v>
      </c>
      <c r="AO139" s="216"/>
      <c r="AP139" s="216"/>
      <c r="AQ139" s="109">
        <f t="shared" si="98"/>
        <v>150</v>
      </c>
      <c r="AR139" s="109"/>
      <c r="AS139" s="109"/>
    </row>
    <row r="140" spans="3:51" x14ac:dyDescent="0.25">
      <c r="C140" s="28">
        <v>42795</v>
      </c>
      <c r="D140" s="28"/>
      <c r="E140" s="85">
        <v>165150</v>
      </c>
      <c r="F140" s="79">
        <f>IF(G140&lt;&gt;0,E141-E135,"")</f>
        <v>7682</v>
      </c>
      <c r="G140" s="80">
        <f t="shared" si="85"/>
        <v>1228</v>
      </c>
      <c r="H140" s="109">
        <f t="shared" si="92"/>
        <v>1117</v>
      </c>
      <c r="I140" s="28">
        <f t="shared" si="73"/>
        <v>42795</v>
      </c>
      <c r="J140" s="28"/>
      <c r="K140" s="86">
        <v>49549</v>
      </c>
      <c r="L140" s="79">
        <f>IF(M140&lt;&gt;0,K141-K135,"")</f>
        <v>839</v>
      </c>
      <c r="M140" s="80">
        <f t="shared" si="86"/>
        <v>-13</v>
      </c>
      <c r="N140" s="109">
        <f t="shared" si="93"/>
        <v>-67</v>
      </c>
      <c r="O140" s="28">
        <f t="shared" si="74"/>
        <v>42795</v>
      </c>
      <c r="P140" s="284"/>
      <c r="Q140" s="85">
        <v>48214</v>
      </c>
      <c r="R140" s="79">
        <f>IF(S140&lt;&gt;0,Q141-Q135,"")</f>
        <v>2940</v>
      </c>
      <c r="S140" s="80">
        <f t="shared" si="87"/>
        <v>577</v>
      </c>
      <c r="T140" s="109">
        <f t="shared" si="94"/>
        <v>268</v>
      </c>
      <c r="U140" s="109"/>
      <c r="V140" s="28">
        <f t="shared" si="75"/>
        <v>42795</v>
      </c>
      <c r="W140" s="86">
        <v>14726</v>
      </c>
      <c r="X140" s="79">
        <f>IF(Y140&lt;&gt;0,W141-W135,"")</f>
        <v>609</v>
      </c>
      <c r="Y140" s="74">
        <f t="shared" si="88"/>
        <v>104</v>
      </c>
      <c r="Z140" s="109">
        <f t="shared" si="95"/>
        <v>64</v>
      </c>
      <c r="AA140" s="34">
        <f t="shared" si="76"/>
        <v>42795</v>
      </c>
      <c r="AB140" s="85">
        <v>46184</v>
      </c>
      <c r="AC140" s="79">
        <f>IF(AD140&lt;&gt;0,AB141-AB135,"")</f>
        <v>3287</v>
      </c>
      <c r="AD140" s="74">
        <f t="shared" si="89"/>
        <v>587</v>
      </c>
      <c r="AE140" s="109">
        <f t="shared" si="96"/>
        <v>400</v>
      </c>
      <c r="AF140" s="34">
        <f t="shared" si="77"/>
        <v>42795</v>
      </c>
      <c r="AG140" s="85">
        <v>46962</v>
      </c>
      <c r="AH140" s="79">
        <f>IF(AG141&lt;&gt;0,AG141-AG135,"")</f>
        <v>802</v>
      </c>
      <c r="AI140" s="74">
        <f t="shared" si="90"/>
        <v>107</v>
      </c>
      <c r="AJ140" s="109">
        <f t="shared" si="97"/>
        <v>1</v>
      </c>
      <c r="AK140" s="28">
        <f t="shared" si="78"/>
        <v>42795</v>
      </c>
      <c r="AL140" s="85">
        <v>25239</v>
      </c>
      <c r="AM140" s="79">
        <f>IF(AN140&lt;&gt;0,AL141-AL137,"")</f>
        <v>522</v>
      </c>
      <c r="AN140" s="74">
        <f t="shared" si="91"/>
        <v>215</v>
      </c>
      <c r="AO140" s="216"/>
      <c r="AP140" s="216"/>
      <c r="AQ140" s="109">
        <f t="shared" si="98"/>
        <v>350</v>
      </c>
      <c r="AR140" s="109"/>
      <c r="AS140" s="109"/>
    </row>
    <row r="141" spans="3:51" x14ac:dyDescent="0.25">
      <c r="C141" s="28">
        <v>42826</v>
      </c>
      <c r="D141" s="28"/>
      <c r="E141" s="85">
        <v>166378</v>
      </c>
      <c r="F141" s="79">
        <f>IF(G141&lt;&gt;0,E142-E135,"")</f>
        <v>7794</v>
      </c>
      <c r="G141" s="80">
        <f t="shared" si="85"/>
        <v>112</v>
      </c>
      <c r="H141" s="109">
        <f t="shared" si="92"/>
        <v>710</v>
      </c>
      <c r="I141" s="28">
        <f t="shared" si="73"/>
        <v>42826</v>
      </c>
      <c r="J141" s="28"/>
      <c r="K141" s="86">
        <v>49536</v>
      </c>
      <c r="L141" s="79">
        <f>IF(M141&lt;&gt;0,K142-K135,"")</f>
        <v>720</v>
      </c>
      <c r="M141" s="80">
        <f t="shared" si="86"/>
        <v>-119</v>
      </c>
      <c r="N141" s="109">
        <f t="shared" si="93"/>
        <v>-91</v>
      </c>
      <c r="O141" s="28">
        <f t="shared" si="74"/>
        <v>42826</v>
      </c>
      <c r="P141" s="284"/>
      <c r="Q141" s="85">
        <v>48791</v>
      </c>
      <c r="R141" s="79">
        <f>IF(S141&lt;&gt;0,Q142-Q135,"")</f>
        <v>3186</v>
      </c>
      <c r="S141" s="80">
        <f t="shared" si="87"/>
        <v>246</v>
      </c>
      <c r="T141" s="109">
        <f t="shared" si="94"/>
        <v>240</v>
      </c>
      <c r="U141" s="109"/>
      <c r="V141" s="28">
        <f t="shared" si="75"/>
        <v>42826</v>
      </c>
      <c r="W141" s="86">
        <v>14830</v>
      </c>
      <c r="X141" s="79">
        <f>IF(Y141&lt;&gt;0,W142-W135,"")</f>
        <v>653</v>
      </c>
      <c r="Y141" s="74">
        <f t="shared" si="88"/>
        <v>44</v>
      </c>
      <c r="Z141" s="109">
        <f t="shared" si="95"/>
        <v>57</v>
      </c>
      <c r="AA141" s="34">
        <f t="shared" si="76"/>
        <v>42826</v>
      </c>
      <c r="AB141" s="85">
        <v>46771</v>
      </c>
      <c r="AC141" s="79">
        <f>IF(AD141&lt;&gt;0,AB142-AB135,"")</f>
        <v>3399</v>
      </c>
      <c r="AD141" s="74">
        <f t="shared" si="89"/>
        <v>112</v>
      </c>
      <c r="AE141" s="109">
        <f t="shared" si="96"/>
        <v>264</v>
      </c>
      <c r="AF141" s="34">
        <f t="shared" si="77"/>
        <v>42826</v>
      </c>
      <c r="AG141" s="85">
        <v>47069</v>
      </c>
      <c r="AH141" s="79">
        <f>IF(AG142&lt;&gt;0,AG142-AG135,"")</f>
        <v>802</v>
      </c>
      <c r="AI141" s="74">
        <f t="shared" si="90"/>
        <v>0</v>
      </c>
      <c r="AJ141" s="109">
        <f t="shared" si="97"/>
        <v>2</v>
      </c>
      <c r="AK141" s="28">
        <f t="shared" si="78"/>
        <v>42826</v>
      </c>
      <c r="AL141" s="85">
        <v>25454</v>
      </c>
      <c r="AM141" s="79">
        <f>IF(AN141&lt;&gt;0,AL142-AL137,"")</f>
        <v>894</v>
      </c>
      <c r="AN141" s="74">
        <f t="shared" si="91"/>
        <v>372</v>
      </c>
      <c r="AO141" s="216"/>
      <c r="AP141" s="216"/>
      <c r="AQ141" s="109">
        <f t="shared" si="98"/>
        <v>366</v>
      </c>
      <c r="AR141" s="109"/>
      <c r="AS141" s="109"/>
    </row>
    <row r="142" spans="3:51" x14ac:dyDescent="0.25">
      <c r="C142" s="28">
        <v>42856</v>
      </c>
      <c r="D142" s="28"/>
      <c r="E142" s="85">
        <v>166490</v>
      </c>
      <c r="F142" s="79" t="str">
        <f>IF(G142&lt;&gt;0,E143-E135,"")</f>
        <v/>
      </c>
      <c r="G142" s="80">
        <f t="shared" si="85"/>
        <v>0</v>
      </c>
      <c r="H142" s="109">
        <f t="shared" si="92"/>
        <v>8</v>
      </c>
      <c r="I142" s="28">
        <f t="shared" si="73"/>
        <v>42856</v>
      </c>
      <c r="J142" s="28"/>
      <c r="K142" s="86">
        <v>49417</v>
      </c>
      <c r="L142" s="79">
        <f>IF(M142&lt;&gt;0,K143-K135,"")</f>
        <v>527</v>
      </c>
      <c r="M142" s="80">
        <f t="shared" si="86"/>
        <v>-193</v>
      </c>
      <c r="N142" s="109">
        <f t="shared" si="93"/>
        <v>-177</v>
      </c>
      <c r="O142" s="28">
        <f t="shared" si="74"/>
        <v>42856</v>
      </c>
      <c r="P142" s="284"/>
      <c r="Q142" s="85">
        <v>49037</v>
      </c>
      <c r="R142" s="79">
        <f t="shared" ref="R142" si="99">IF(S142&lt;&gt;0,Q143-Q136,"")</f>
        <v>3261</v>
      </c>
      <c r="S142" s="80">
        <f t="shared" si="87"/>
        <v>199</v>
      </c>
      <c r="T142" s="109">
        <f t="shared" si="94"/>
        <v>143</v>
      </c>
      <c r="U142" s="109"/>
      <c r="V142" s="28">
        <f t="shared" si="75"/>
        <v>42856</v>
      </c>
      <c r="W142" s="86">
        <v>14874</v>
      </c>
      <c r="X142" s="79">
        <f>IF(Y142&lt;&gt;0,W143-W135,"")</f>
        <v>704</v>
      </c>
      <c r="Y142" s="74">
        <f t="shared" si="88"/>
        <v>51</v>
      </c>
      <c r="Z142" s="109">
        <f t="shared" si="95"/>
        <v>58</v>
      </c>
      <c r="AA142" s="34">
        <f t="shared" si="76"/>
        <v>42856</v>
      </c>
      <c r="AB142" s="85">
        <v>46883</v>
      </c>
      <c r="AC142" s="79">
        <f>IF(AD142&lt;&gt;0,AB143-AB135,"")</f>
        <v>3437</v>
      </c>
      <c r="AD142" s="74">
        <f t="shared" si="89"/>
        <v>38</v>
      </c>
      <c r="AE142" s="109">
        <f t="shared" si="96"/>
        <v>130</v>
      </c>
      <c r="AF142" s="34">
        <f t="shared" si="77"/>
        <v>42856</v>
      </c>
      <c r="AG142" s="85">
        <v>47069</v>
      </c>
      <c r="AH142" s="79">
        <f>IF(AG143&lt;&gt;0,AG143-AG135,"")</f>
        <v>803</v>
      </c>
      <c r="AI142" s="74">
        <f t="shared" si="90"/>
        <v>1</v>
      </c>
      <c r="AJ142" s="109">
        <f t="shared" si="97"/>
        <v>1</v>
      </c>
      <c r="AK142" s="28">
        <f t="shared" si="78"/>
        <v>42856</v>
      </c>
      <c r="AL142" s="85">
        <v>25826</v>
      </c>
      <c r="AM142" s="79">
        <f>IF(AN142&lt;&gt;0,AL143-AL137,"")</f>
        <v>1368</v>
      </c>
      <c r="AN142" s="74">
        <f t="shared" ref="AN142:AN144" si="100">IF(AL143&lt;&gt;0,AL143-AL142,0)</f>
        <v>474</v>
      </c>
      <c r="AO142" s="216"/>
      <c r="AP142" s="216"/>
      <c r="AQ142" s="109">
        <f t="shared" si="98"/>
        <v>452</v>
      </c>
      <c r="AR142" s="109"/>
      <c r="AS142" s="109"/>
    </row>
    <row r="143" spans="3:51" x14ac:dyDescent="0.25">
      <c r="C143" s="28">
        <v>42887</v>
      </c>
      <c r="D143" s="28"/>
      <c r="E143" s="85">
        <v>166490</v>
      </c>
      <c r="F143" s="79" t="str">
        <f>IF(G143&lt;&gt;0,E184-E135,"")</f>
        <v/>
      </c>
      <c r="G143" s="80">
        <f>IF(E184&lt;&gt;0,E184-E143,0)</f>
        <v>0</v>
      </c>
      <c r="H143" s="109">
        <f t="shared" si="92"/>
        <v>0</v>
      </c>
      <c r="I143" s="28">
        <f t="shared" si="73"/>
        <v>42887</v>
      </c>
      <c r="J143" s="28"/>
      <c r="K143" s="86">
        <v>49224</v>
      </c>
      <c r="L143" s="79">
        <f t="shared" ref="L143:L144" si="101">IF(M143&lt;&gt;0,K144-K136,"")</f>
        <v>369</v>
      </c>
      <c r="M143" s="80">
        <f t="shared" ref="M143:M144" si="102">IF(K144&lt;&gt;0,K144-K143,0)</f>
        <v>-122</v>
      </c>
      <c r="N143" s="109">
        <f t="shared" si="93"/>
        <v>-60</v>
      </c>
      <c r="O143" s="28">
        <f t="shared" si="74"/>
        <v>42887</v>
      </c>
      <c r="P143" s="284"/>
      <c r="Q143" s="85">
        <v>49236</v>
      </c>
      <c r="R143" s="79">
        <f t="shared" ref="R143:R144" si="103">IF(S143&lt;&gt;0,Q144-Q137,"")</f>
        <v>2870</v>
      </c>
      <c r="S143" s="80">
        <f t="shared" ref="S143:S144" si="104">IF(Q144&lt;&gt;0,Q144-Q143,0)</f>
        <v>114</v>
      </c>
      <c r="T143" s="109">
        <f t="shared" si="94"/>
        <v>111</v>
      </c>
      <c r="U143" s="109"/>
      <c r="V143" s="28">
        <f t="shared" si="75"/>
        <v>42887</v>
      </c>
      <c r="W143" s="86">
        <v>14925</v>
      </c>
      <c r="X143" s="79">
        <f t="shared" ref="X143" si="105">IF(Y143&lt;&gt;0,W144-W136,"")</f>
        <v>726</v>
      </c>
      <c r="Y143" s="74">
        <f t="shared" ref="Y143:Y144" si="106">IF(W144&lt;&gt;0,W144-W143,0)</f>
        <v>35</v>
      </c>
      <c r="Z143" s="109">
        <f t="shared" si="95"/>
        <v>59</v>
      </c>
      <c r="AA143" s="34">
        <f t="shared" si="76"/>
        <v>42887</v>
      </c>
      <c r="AB143" s="85">
        <v>46921</v>
      </c>
      <c r="AC143" s="79">
        <f t="shared" ref="AC143:AC144" si="107">IF(AD143&lt;&gt;0,AB144-AB136,"")</f>
        <v>3393</v>
      </c>
      <c r="AD143" s="74">
        <f t="shared" ref="AD143:AD144" si="108">IF(AB144&lt;&gt;0,AB144-AB143,0)</f>
        <v>37</v>
      </c>
      <c r="AE143" s="109">
        <f t="shared" si="96"/>
        <v>41</v>
      </c>
      <c r="AF143" s="34">
        <f t="shared" si="77"/>
        <v>42887</v>
      </c>
      <c r="AG143" s="85">
        <v>47070</v>
      </c>
      <c r="AH143" s="79" t="str">
        <f>IF(AG184&lt;&gt;0,AG184-AG135,"")</f>
        <v/>
      </c>
      <c r="AI143" s="74" t="str">
        <f>IF(AG184&lt;&gt;0,AG184-AG143,"")</f>
        <v/>
      </c>
      <c r="AJ143" s="109">
        <f t="shared" si="97"/>
        <v>0</v>
      </c>
      <c r="AK143" s="28">
        <f t="shared" si="78"/>
        <v>42887</v>
      </c>
      <c r="AL143" s="168">
        <v>26300</v>
      </c>
      <c r="AM143" s="79">
        <f>IF(AN143&lt;&gt;0,AL144-AL137,"")</f>
        <v>1718</v>
      </c>
      <c r="AN143" s="74">
        <f t="shared" si="100"/>
        <v>350</v>
      </c>
      <c r="AO143" s="216"/>
      <c r="AP143" s="216"/>
      <c r="AQ143" s="109">
        <f t="shared" si="98"/>
        <v>332</v>
      </c>
      <c r="AR143" s="109"/>
      <c r="AS143" s="109"/>
    </row>
    <row r="144" spans="3:51" x14ac:dyDescent="0.25">
      <c r="C144" s="28">
        <v>43282</v>
      </c>
      <c r="D144" s="28"/>
      <c r="E144" s="85">
        <v>166490</v>
      </c>
      <c r="F144" s="79" t="str">
        <f>IF(G144&lt;&gt;0,E185-E136,"")</f>
        <v/>
      </c>
      <c r="G144" s="80">
        <f>IF(E185&lt;&gt;0,E185-E144,0)</f>
        <v>0</v>
      </c>
      <c r="H144" s="109"/>
      <c r="I144" s="28">
        <f t="shared" si="73"/>
        <v>43282</v>
      </c>
      <c r="J144" s="28"/>
      <c r="K144" s="86">
        <v>49102</v>
      </c>
      <c r="L144" s="79">
        <f t="shared" si="101"/>
        <v>117</v>
      </c>
      <c r="M144" s="80">
        <f t="shared" si="102"/>
        <v>-104</v>
      </c>
      <c r="N144" s="109"/>
      <c r="O144" s="28">
        <f t="shared" si="74"/>
        <v>43282</v>
      </c>
      <c r="P144" s="284"/>
      <c r="Q144" s="85">
        <v>49350</v>
      </c>
      <c r="R144" s="79">
        <f t="shared" si="103"/>
        <v>2309</v>
      </c>
      <c r="S144" s="80">
        <f t="shared" si="104"/>
        <v>70</v>
      </c>
      <c r="T144" s="109"/>
      <c r="U144" s="109"/>
      <c r="V144" s="28">
        <f t="shared" si="75"/>
        <v>43282</v>
      </c>
      <c r="W144" s="86">
        <v>14960</v>
      </c>
      <c r="X144" s="79">
        <f>IF(Y144&lt;&gt;0,W145-W137,"")</f>
        <v>710</v>
      </c>
      <c r="Y144" s="74">
        <f t="shared" si="106"/>
        <v>50</v>
      </c>
      <c r="Z144" s="109"/>
      <c r="AA144" s="34">
        <f t="shared" si="76"/>
        <v>43282</v>
      </c>
      <c r="AB144" s="85">
        <v>46958</v>
      </c>
      <c r="AC144" s="79">
        <f t="shared" si="107"/>
        <v>2967</v>
      </c>
      <c r="AD144" s="74">
        <f t="shared" si="108"/>
        <v>43</v>
      </c>
      <c r="AE144" s="109"/>
      <c r="AF144" s="34">
        <f t="shared" si="77"/>
        <v>43282</v>
      </c>
      <c r="AG144" s="85">
        <v>47071</v>
      </c>
      <c r="AH144" s="79" t="str">
        <f>IF(AG185&lt;&gt;0,AG185-AG136,"")</f>
        <v/>
      </c>
      <c r="AI144" s="74" t="str">
        <f>IF(AG185&lt;&gt;0,AG185-AG144,"")</f>
        <v/>
      </c>
      <c r="AJ144" s="109"/>
      <c r="AK144" s="28">
        <f t="shared" si="78"/>
        <v>43282</v>
      </c>
      <c r="AL144" s="168">
        <v>26650</v>
      </c>
      <c r="AM144" s="79">
        <f>IF(AN144&lt;&gt;0,AL145-AL137,"")</f>
        <v>2146</v>
      </c>
      <c r="AN144" s="74">
        <f t="shared" si="100"/>
        <v>428</v>
      </c>
      <c r="AO144" s="216"/>
      <c r="AP144" s="216"/>
      <c r="AQ144" s="109">
        <f t="shared" si="98"/>
        <v>0</v>
      </c>
      <c r="AR144" s="109"/>
      <c r="AS144" s="109"/>
    </row>
    <row r="145" spans="1:51" x14ac:dyDescent="0.25">
      <c r="C145" s="174">
        <v>43313</v>
      </c>
      <c r="D145" s="174" t="s">
        <v>88</v>
      </c>
      <c r="E145" s="78">
        <v>166490</v>
      </c>
      <c r="F145" s="163">
        <f>CG_EX_NUIT-E135</f>
        <v>7794</v>
      </c>
      <c r="G145" s="74">
        <f>E147-E145</f>
        <v>0</v>
      </c>
      <c r="H145" s="109"/>
      <c r="I145" s="174">
        <f t="shared" si="73"/>
        <v>43313</v>
      </c>
      <c r="J145" s="174"/>
      <c r="K145" s="81">
        <v>48998</v>
      </c>
      <c r="L145" s="79">
        <v>0</v>
      </c>
      <c r="M145" s="74">
        <f>K147-K145</f>
        <v>-95</v>
      </c>
      <c r="N145" s="109"/>
      <c r="O145" s="174">
        <f t="shared" si="74"/>
        <v>43313</v>
      </c>
      <c r="P145" s="289"/>
      <c r="Q145" s="78">
        <v>49420</v>
      </c>
      <c r="R145" s="79">
        <v>0</v>
      </c>
      <c r="S145" s="74">
        <f>Q147-Q145</f>
        <v>40</v>
      </c>
      <c r="T145" s="109"/>
      <c r="U145" s="109"/>
      <c r="V145" s="174">
        <f t="shared" si="75"/>
        <v>43313</v>
      </c>
      <c r="W145" s="81">
        <v>15010</v>
      </c>
      <c r="X145" s="79">
        <v>0</v>
      </c>
      <c r="Y145" s="74">
        <f>W147-W145</f>
        <v>47</v>
      </c>
      <c r="Z145" s="109"/>
      <c r="AA145" s="175">
        <f t="shared" si="76"/>
        <v>43313</v>
      </c>
      <c r="AB145" s="78">
        <v>47001</v>
      </c>
      <c r="AC145" s="79">
        <v>0</v>
      </c>
      <c r="AD145" s="74">
        <f>AB147-AB145</f>
        <v>38</v>
      </c>
      <c r="AE145" s="109"/>
      <c r="AF145" s="34">
        <f t="shared" si="77"/>
        <v>43313</v>
      </c>
      <c r="AG145" s="82">
        <v>47071</v>
      </c>
      <c r="AH145" s="79">
        <v>0</v>
      </c>
      <c r="AI145" s="74">
        <f>AG147-AG145</f>
        <v>0</v>
      </c>
      <c r="AJ145" s="109"/>
      <c r="AK145" s="28">
        <f t="shared" si="78"/>
        <v>43313</v>
      </c>
      <c r="AL145" s="78">
        <v>27078</v>
      </c>
      <c r="AM145" s="79">
        <f>PROD_2018-AL137</f>
        <v>2146</v>
      </c>
      <c r="AN145" s="74">
        <f>AL147-PROD_2018</f>
        <v>593</v>
      </c>
      <c r="AO145" s="216"/>
      <c r="AP145" s="216"/>
      <c r="AQ145" s="109">
        <f t="shared" si="98"/>
        <v>3300</v>
      </c>
      <c r="AR145" s="109"/>
      <c r="AS145" s="109"/>
      <c r="AT145" s="184">
        <v>43301</v>
      </c>
      <c r="AU145" s="189">
        <v>27078</v>
      </c>
      <c r="AV145" s="183">
        <f>AL145-AL137</f>
        <v>2146</v>
      </c>
      <c r="AW145" s="187">
        <v>15.022</v>
      </c>
      <c r="AX145" s="180">
        <v>66</v>
      </c>
      <c r="AY145" s="102">
        <f>ROUND(AW145*AX145,2)</f>
        <v>991.45</v>
      </c>
    </row>
    <row r="146" spans="1:51" x14ac:dyDescent="0.25">
      <c r="C146" s="174"/>
      <c r="D146" s="174"/>
      <c r="E146" s="78"/>
      <c r="F146" s="79"/>
      <c r="G146" s="74"/>
      <c r="H146" s="109"/>
      <c r="I146" s="174"/>
      <c r="J146" s="174"/>
      <c r="K146" s="81"/>
      <c r="L146" s="79"/>
      <c r="M146" s="74"/>
      <c r="N146" s="109"/>
      <c r="O146" s="174"/>
      <c r="P146" s="289"/>
      <c r="Q146" s="78"/>
      <c r="R146" s="79"/>
      <c r="S146" s="74"/>
      <c r="T146" s="109"/>
      <c r="U146" s="109"/>
      <c r="V146" s="174"/>
      <c r="W146" s="81"/>
      <c r="X146" s="79"/>
      <c r="Y146" s="74"/>
      <c r="Z146" s="109"/>
      <c r="AA146" s="175"/>
      <c r="AB146" s="78"/>
      <c r="AC146" s="79"/>
      <c r="AD146" s="74"/>
      <c r="AE146" s="109"/>
      <c r="AF146" s="34"/>
      <c r="AG146" s="82"/>
      <c r="AH146" s="79"/>
      <c r="AI146" s="74"/>
      <c r="AJ146" s="109"/>
      <c r="AK146" s="28"/>
      <c r="AL146" s="78"/>
      <c r="AM146" s="79"/>
      <c r="AN146" s="74"/>
      <c r="AO146" s="216"/>
      <c r="AP146" s="216"/>
      <c r="AQ146" s="109"/>
      <c r="AR146" s="109"/>
      <c r="AS146" s="109"/>
    </row>
    <row r="147" spans="1:51" x14ac:dyDescent="0.25">
      <c r="C147" s="28">
        <v>43344</v>
      </c>
      <c r="D147" s="28"/>
      <c r="E147" s="85">
        <v>166490</v>
      </c>
      <c r="F147" s="79">
        <f t="shared" ref="F147:F153" si="109">E147-CG_EX_NUIT</f>
        <v>0</v>
      </c>
      <c r="G147" s="74">
        <f t="shared" ref="G147:G162" si="110">E148-E147</f>
        <v>0</v>
      </c>
      <c r="H147" s="109">
        <f>H133</f>
        <v>0</v>
      </c>
      <c r="I147" s="28">
        <f>C147</f>
        <v>43344</v>
      </c>
      <c r="J147" s="284"/>
      <c r="K147" s="86">
        <v>48903</v>
      </c>
      <c r="L147" s="79">
        <f t="shared" ref="L147:L153" si="111">K147-CG_JOUR</f>
        <v>-95</v>
      </c>
      <c r="M147" s="74">
        <f t="shared" ref="M147:M183" si="112">K148-K147</f>
        <v>-77</v>
      </c>
      <c r="N147" s="109">
        <f>N133</f>
        <v>-73</v>
      </c>
      <c r="O147" s="28">
        <f>C147</f>
        <v>43344</v>
      </c>
      <c r="P147" s="284"/>
      <c r="Q147" s="86">
        <v>49460</v>
      </c>
      <c r="R147" s="79">
        <f t="shared" ref="R147:R153" si="113">Q147-CG_NUIT</f>
        <v>40</v>
      </c>
      <c r="S147" s="74">
        <f t="shared" ref="S147:S183" si="114">Q148-Q147</f>
        <v>152</v>
      </c>
      <c r="T147" s="109">
        <f>T133</f>
        <v>101</v>
      </c>
      <c r="U147" s="109"/>
      <c r="V147" s="28">
        <f>O147</f>
        <v>43344</v>
      </c>
      <c r="W147" s="86">
        <v>15057</v>
      </c>
      <c r="X147" s="79">
        <f t="shared" ref="X147:X153" si="115">W147-MCS_JOUR</f>
        <v>47</v>
      </c>
      <c r="Y147" s="74">
        <f t="shared" ref="Y147:Y171" si="116">W148-W147</f>
        <v>41</v>
      </c>
      <c r="Z147" s="109">
        <f>Y133</f>
        <v>38</v>
      </c>
      <c r="AA147" s="28">
        <f>V147</f>
        <v>43344</v>
      </c>
      <c r="AB147" s="85">
        <v>47039</v>
      </c>
      <c r="AC147" s="79">
        <f t="shared" ref="AC147:AC153" si="117">AB147-MCS_NUIT</f>
        <v>38</v>
      </c>
      <c r="AD147" s="74">
        <f t="shared" ref="AD147:AD171" si="118">AB148-AB147</f>
        <v>39</v>
      </c>
      <c r="AE147" s="109">
        <f>AE133</f>
        <v>57</v>
      </c>
      <c r="AF147" s="28">
        <f>O147</f>
        <v>43344</v>
      </c>
      <c r="AG147" s="85">
        <v>47071</v>
      </c>
      <c r="AH147" s="79">
        <f t="shared" ref="AH147:AH153" si="119">AG147-GITE</f>
        <v>0</v>
      </c>
      <c r="AI147" s="74">
        <f t="shared" ref="AI147:AI183" si="120">AG148-AG147</f>
        <v>0</v>
      </c>
      <c r="AJ147" s="109">
        <f>AJ133</f>
        <v>0</v>
      </c>
      <c r="AK147" s="28">
        <f>O147</f>
        <v>43344</v>
      </c>
      <c r="AL147" s="85">
        <v>27671</v>
      </c>
      <c r="AM147" s="79">
        <f t="shared" ref="AM147:AM158" si="121">AL147-PROD_2018</f>
        <v>593</v>
      </c>
      <c r="AN147" s="74">
        <f t="shared" ref="AN147:AN183" si="122">AL148-AL147</f>
        <v>288</v>
      </c>
      <c r="AO147" s="216"/>
      <c r="AP147" s="216"/>
      <c r="AQ147" s="109">
        <f>AN133</f>
        <v>260</v>
      </c>
      <c r="AR147" s="109"/>
      <c r="AS147" s="109"/>
    </row>
    <row r="148" spans="1:51" x14ac:dyDescent="0.25">
      <c r="C148" s="28">
        <v>43374</v>
      </c>
      <c r="D148" s="28"/>
      <c r="E148" s="85">
        <v>166490</v>
      </c>
      <c r="F148" s="79">
        <f t="shared" si="109"/>
        <v>0</v>
      </c>
      <c r="G148" s="74">
        <f t="shared" si="110"/>
        <v>260</v>
      </c>
      <c r="H148" s="109">
        <f t="shared" ref="H148" si="123">H134</f>
        <v>712</v>
      </c>
      <c r="I148" s="28">
        <f t="shared" ref="I148:I184" si="124">C148</f>
        <v>43374</v>
      </c>
      <c r="J148" s="284"/>
      <c r="K148" s="86">
        <v>48826</v>
      </c>
      <c r="L148" s="79">
        <f t="shared" si="111"/>
        <v>-172</v>
      </c>
      <c r="M148" s="74">
        <f t="shared" si="112"/>
        <v>24</v>
      </c>
      <c r="N148" s="109">
        <f t="shared" ref="N148" si="125">N134</f>
        <v>32</v>
      </c>
      <c r="O148" s="28">
        <f t="shared" ref="O148:O184" si="126">C148</f>
        <v>43374</v>
      </c>
      <c r="P148" s="284"/>
      <c r="Q148" s="86">
        <v>49612</v>
      </c>
      <c r="R148" s="79">
        <f t="shared" si="113"/>
        <v>192</v>
      </c>
      <c r="S148" s="74">
        <f t="shared" si="114"/>
        <v>338</v>
      </c>
      <c r="T148" s="109">
        <f t="shared" ref="T148" si="127">T134</f>
        <v>284</v>
      </c>
      <c r="U148" s="109"/>
      <c r="V148" s="28">
        <f t="shared" ref="V148:V184" si="128">O148</f>
        <v>43374</v>
      </c>
      <c r="W148" s="86">
        <v>15098</v>
      </c>
      <c r="X148" s="79">
        <f t="shared" si="115"/>
        <v>88</v>
      </c>
      <c r="Y148" s="74">
        <f t="shared" si="116"/>
        <v>27</v>
      </c>
      <c r="Z148" s="109">
        <f>Y134</f>
        <v>43</v>
      </c>
      <c r="AA148" s="28">
        <f t="shared" ref="AA148:AA184" si="129">V148</f>
        <v>43374</v>
      </c>
      <c r="AB148" s="85">
        <v>47078</v>
      </c>
      <c r="AC148" s="79">
        <f t="shared" si="117"/>
        <v>77</v>
      </c>
      <c r="AD148" s="74">
        <f t="shared" si="118"/>
        <v>322</v>
      </c>
      <c r="AE148" s="109">
        <f t="shared" ref="AE148" si="130">AE134</f>
        <v>286</v>
      </c>
      <c r="AF148" s="28">
        <f t="shared" ref="AF148:AF184" si="131">O148</f>
        <v>43374</v>
      </c>
      <c r="AG148" s="85">
        <v>47071</v>
      </c>
      <c r="AH148" s="79">
        <f t="shared" si="119"/>
        <v>0</v>
      </c>
      <c r="AI148" s="74">
        <f t="shared" si="120"/>
        <v>4</v>
      </c>
      <c r="AJ148" s="109">
        <f t="shared" ref="AJ148" si="132">AJ134</f>
        <v>1</v>
      </c>
      <c r="AK148" s="28">
        <f t="shared" ref="AK148:AK184" si="133">O148</f>
        <v>43374</v>
      </c>
      <c r="AL148" s="85">
        <v>27959</v>
      </c>
      <c r="AM148" s="79">
        <f t="shared" si="121"/>
        <v>881</v>
      </c>
      <c r="AN148" s="74">
        <f t="shared" si="122"/>
        <v>231</v>
      </c>
      <c r="AO148" s="216"/>
      <c r="AP148" s="216"/>
      <c r="AQ148" s="109">
        <f t="shared" ref="AQ148" si="134">AN134</f>
        <v>191</v>
      </c>
      <c r="AR148" s="109"/>
      <c r="AS148" s="109"/>
    </row>
    <row r="149" spans="1:51" x14ac:dyDescent="0.25">
      <c r="C149" s="28">
        <v>43405</v>
      </c>
      <c r="D149" s="28"/>
      <c r="E149" s="85">
        <v>166750</v>
      </c>
      <c r="F149" s="79">
        <f t="shared" si="109"/>
        <v>260</v>
      </c>
      <c r="G149" s="74">
        <f t="shared" si="110"/>
        <v>975</v>
      </c>
      <c r="H149" s="109">
        <f t="shared" ref="H149:H158" si="135">H136</f>
        <v>1556</v>
      </c>
      <c r="I149" s="28">
        <f t="shared" si="124"/>
        <v>43405</v>
      </c>
      <c r="J149" s="284"/>
      <c r="K149" s="86">
        <v>48850</v>
      </c>
      <c r="L149" s="79">
        <f t="shared" si="111"/>
        <v>-148</v>
      </c>
      <c r="M149" s="74">
        <f t="shared" si="112"/>
        <v>195</v>
      </c>
      <c r="N149" s="109">
        <f t="shared" ref="N149:N157" si="136">N136</f>
        <v>97</v>
      </c>
      <c r="O149" s="28">
        <f t="shared" si="126"/>
        <v>43405</v>
      </c>
      <c r="P149" s="284"/>
      <c r="Q149" s="86">
        <v>49950</v>
      </c>
      <c r="R149" s="79">
        <f t="shared" si="113"/>
        <v>530</v>
      </c>
      <c r="S149" s="74">
        <f t="shared" si="114"/>
        <v>562</v>
      </c>
      <c r="T149" s="109">
        <f t="shared" ref="T149:T158" si="137">T136</f>
        <v>337</v>
      </c>
      <c r="U149" s="109"/>
      <c r="V149" s="28">
        <f t="shared" si="128"/>
        <v>43405</v>
      </c>
      <c r="W149" s="86">
        <v>15125</v>
      </c>
      <c r="X149" s="79">
        <f t="shared" si="115"/>
        <v>115</v>
      </c>
      <c r="Y149" s="74">
        <f t="shared" si="116"/>
        <v>93</v>
      </c>
      <c r="Z149" s="109">
        <f>Y136</f>
        <v>66</v>
      </c>
      <c r="AA149" s="28">
        <f t="shared" si="129"/>
        <v>43405</v>
      </c>
      <c r="AB149" s="85">
        <v>47400</v>
      </c>
      <c r="AC149" s="79">
        <f t="shared" si="117"/>
        <v>399</v>
      </c>
      <c r="AD149" s="74">
        <f t="shared" si="118"/>
        <v>480</v>
      </c>
      <c r="AE149" s="109">
        <f t="shared" ref="AE149:AE157" si="138">AE136</f>
        <v>473</v>
      </c>
      <c r="AF149" s="28">
        <f t="shared" si="131"/>
        <v>43405</v>
      </c>
      <c r="AG149" s="85">
        <v>47075</v>
      </c>
      <c r="AH149" s="79">
        <f t="shared" si="119"/>
        <v>4</v>
      </c>
      <c r="AI149" s="74">
        <f t="shared" si="120"/>
        <v>57</v>
      </c>
      <c r="AJ149" s="109">
        <f t="shared" ref="AJ149:AJ156" si="139">AJ136</f>
        <v>26</v>
      </c>
      <c r="AK149" s="28">
        <f t="shared" si="133"/>
        <v>43405</v>
      </c>
      <c r="AL149" s="85">
        <v>28190</v>
      </c>
      <c r="AM149" s="79">
        <f t="shared" si="121"/>
        <v>1112</v>
      </c>
      <c r="AN149" s="74">
        <f t="shared" si="122"/>
        <v>98</v>
      </c>
      <c r="AO149" s="216"/>
      <c r="AP149" s="216"/>
      <c r="AQ149" s="109">
        <f t="shared" ref="AQ149:AQ158" si="140">AN136</f>
        <v>90</v>
      </c>
      <c r="AR149" s="109"/>
      <c r="AS149" s="109"/>
    </row>
    <row r="150" spans="1:51" x14ac:dyDescent="0.25">
      <c r="C150" s="28">
        <v>43435</v>
      </c>
      <c r="D150" s="28"/>
      <c r="E150" s="85">
        <v>167725</v>
      </c>
      <c r="F150" s="79">
        <f t="shared" si="109"/>
        <v>1235</v>
      </c>
      <c r="G150" s="74">
        <f t="shared" si="110"/>
        <v>1759</v>
      </c>
      <c r="H150" s="109">
        <f t="shared" si="135"/>
        <v>2400</v>
      </c>
      <c r="I150" s="28">
        <f t="shared" si="124"/>
        <v>43435</v>
      </c>
      <c r="J150" s="284"/>
      <c r="K150" s="86">
        <v>49045</v>
      </c>
      <c r="L150" s="79">
        <f t="shared" si="111"/>
        <v>47</v>
      </c>
      <c r="M150" s="74">
        <f t="shared" si="112"/>
        <v>210</v>
      </c>
      <c r="N150" s="109">
        <f t="shared" si="136"/>
        <v>111</v>
      </c>
      <c r="O150" s="28">
        <f t="shared" si="126"/>
        <v>43435</v>
      </c>
      <c r="P150" s="284"/>
      <c r="Q150" s="86">
        <v>50512</v>
      </c>
      <c r="R150" s="79">
        <f t="shared" si="113"/>
        <v>1092</v>
      </c>
      <c r="S150" s="74">
        <f t="shared" si="114"/>
        <v>626</v>
      </c>
      <c r="T150" s="109">
        <f t="shared" si="137"/>
        <v>415</v>
      </c>
      <c r="U150" s="109"/>
      <c r="V150" s="28">
        <f t="shared" si="128"/>
        <v>43435</v>
      </c>
      <c r="W150" s="86">
        <v>15218</v>
      </c>
      <c r="X150" s="79">
        <f t="shared" si="115"/>
        <v>208</v>
      </c>
      <c r="Y150" s="74">
        <f t="shared" si="116"/>
        <v>115</v>
      </c>
      <c r="Z150" s="109">
        <f t="shared" ref="Z150:Z157" si="141">Y137</f>
        <v>133</v>
      </c>
      <c r="AA150" s="28">
        <f t="shared" si="129"/>
        <v>43435</v>
      </c>
      <c r="AB150" s="85">
        <v>47880</v>
      </c>
      <c r="AC150" s="79">
        <f t="shared" si="117"/>
        <v>879</v>
      </c>
      <c r="AD150" s="74">
        <f t="shared" si="118"/>
        <v>648</v>
      </c>
      <c r="AE150" s="109">
        <f t="shared" si="138"/>
        <v>736</v>
      </c>
      <c r="AF150" s="28">
        <f t="shared" si="131"/>
        <v>43435</v>
      </c>
      <c r="AG150" s="85">
        <v>47132</v>
      </c>
      <c r="AH150" s="79">
        <f t="shared" si="119"/>
        <v>61</v>
      </c>
      <c r="AI150" s="74">
        <f t="shared" si="120"/>
        <v>176</v>
      </c>
      <c r="AJ150" s="109">
        <f t="shared" si="139"/>
        <v>163</v>
      </c>
      <c r="AK150" s="28">
        <f t="shared" si="133"/>
        <v>43435</v>
      </c>
      <c r="AL150" s="85">
        <v>28288</v>
      </c>
      <c r="AM150" s="79">
        <f t="shared" si="121"/>
        <v>1210</v>
      </c>
      <c r="AN150" s="74">
        <f t="shared" si="122"/>
        <v>52</v>
      </c>
      <c r="AO150" s="216"/>
      <c r="AP150" s="216"/>
      <c r="AQ150" s="109">
        <f t="shared" si="140"/>
        <v>21</v>
      </c>
      <c r="AR150" s="109"/>
      <c r="AS150" s="109"/>
    </row>
    <row r="151" spans="1:51" x14ac:dyDescent="0.25">
      <c r="C151" s="28">
        <v>43466</v>
      </c>
      <c r="D151" s="28"/>
      <c r="E151" s="85">
        <v>169484</v>
      </c>
      <c r="F151" s="79">
        <f t="shared" si="109"/>
        <v>2994</v>
      </c>
      <c r="G151" s="74">
        <f t="shared" si="110"/>
        <v>1888</v>
      </c>
      <c r="H151" s="109">
        <f t="shared" si="135"/>
        <v>3120</v>
      </c>
      <c r="I151" s="28">
        <f t="shared" si="124"/>
        <v>43466</v>
      </c>
      <c r="J151" s="284"/>
      <c r="K151" s="86">
        <v>49255</v>
      </c>
      <c r="L151" s="79">
        <f t="shared" si="111"/>
        <v>257</v>
      </c>
      <c r="M151" s="74">
        <f t="shared" si="112"/>
        <v>268</v>
      </c>
      <c r="N151" s="109">
        <f t="shared" si="136"/>
        <v>119</v>
      </c>
      <c r="O151" s="28">
        <f t="shared" si="126"/>
        <v>43466</v>
      </c>
      <c r="P151" s="284"/>
      <c r="Q151" s="86">
        <v>51138</v>
      </c>
      <c r="R151" s="79">
        <f t="shared" si="113"/>
        <v>1718</v>
      </c>
      <c r="S151" s="74">
        <f t="shared" si="114"/>
        <v>719</v>
      </c>
      <c r="T151" s="109">
        <f t="shared" si="137"/>
        <v>485</v>
      </c>
      <c r="U151" s="109"/>
      <c r="V151" s="28">
        <f t="shared" si="128"/>
        <v>43466</v>
      </c>
      <c r="W151" s="86">
        <v>15333</v>
      </c>
      <c r="X151" s="79">
        <f t="shared" si="115"/>
        <v>323</v>
      </c>
      <c r="Y151" s="74">
        <f t="shared" si="116"/>
        <v>167</v>
      </c>
      <c r="Z151" s="109">
        <f t="shared" si="141"/>
        <v>147</v>
      </c>
      <c r="AA151" s="28">
        <f t="shared" si="129"/>
        <v>43466</v>
      </c>
      <c r="AB151" s="85">
        <v>48528</v>
      </c>
      <c r="AC151" s="79">
        <f t="shared" si="117"/>
        <v>1527</v>
      </c>
      <c r="AD151" s="74">
        <f t="shared" si="118"/>
        <v>972</v>
      </c>
      <c r="AE151" s="109">
        <f t="shared" si="138"/>
        <v>1094</v>
      </c>
      <c r="AF151" s="28">
        <f t="shared" si="131"/>
        <v>43466</v>
      </c>
      <c r="AG151" s="85">
        <v>47308</v>
      </c>
      <c r="AH151" s="79">
        <f t="shared" si="119"/>
        <v>237</v>
      </c>
      <c r="AI151" s="74">
        <f t="shared" si="120"/>
        <v>282</v>
      </c>
      <c r="AJ151" s="109">
        <f t="shared" si="139"/>
        <v>419</v>
      </c>
      <c r="AK151" s="28">
        <f t="shared" si="133"/>
        <v>43466</v>
      </c>
      <c r="AL151" s="85">
        <v>28340</v>
      </c>
      <c r="AM151" s="79">
        <f t="shared" si="121"/>
        <v>1262</v>
      </c>
      <c r="AN151" s="74">
        <f t="shared" si="122"/>
        <v>60</v>
      </c>
      <c r="AO151" s="216"/>
      <c r="AP151" s="216"/>
      <c r="AQ151" s="109">
        <f t="shared" si="140"/>
        <v>47</v>
      </c>
      <c r="AR151" s="109"/>
      <c r="AS151" s="109"/>
      <c r="AT151" s="184">
        <v>43485</v>
      </c>
      <c r="AU151" s="189">
        <v>28364</v>
      </c>
      <c r="AV151" s="183">
        <f>AU151-AU145</f>
        <v>1286</v>
      </c>
      <c r="AW151" s="187">
        <f>ROUND(AV151/1000*7,3)</f>
        <v>9.0020000000000007</v>
      </c>
    </row>
    <row r="152" spans="1:51" x14ac:dyDescent="0.25">
      <c r="C152" s="28">
        <v>43497</v>
      </c>
      <c r="D152" s="28"/>
      <c r="E152" s="85">
        <v>171372</v>
      </c>
      <c r="F152" s="79">
        <f t="shared" si="109"/>
        <v>4882</v>
      </c>
      <c r="G152" s="74">
        <f t="shared" si="110"/>
        <v>1486</v>
      </c>
      <c r="H152" s="109">
        <f t="shared" si="135"/>
        <v>2005</v>
      </c>
      <c r="I152" s="28">
        <f t="shared" si="124"/>
        <v>43497</v>
      </c>
      <c r="J152" s="284"/>
      <c r="K152" s="86">
        <v>49523</v>
      </c>
      <c r="L152" s="79">
        <f t="shared" si="111"/>
        <v>525</v>
      </c>
      <c r="M152" s="74">
        <f t="shared" si="112"/>
        <v>-5</v>
      </c>
      <c r="N152" s="109">
        <f t="shared" si="136"/>
        <v>65</v>
      </c>
      <c r="O152" s="28">
        <f t="shared" si="126"/>
        <v>43497</v>
      </c>
      <c r="P152" s="284"/>
      <c r="Q152" s="86">
        <v>51857</v>
      </c>
      <c r="R152" s="79">
        <f t="shared" si="113"/>
        <v>2437</v>
      </c>
      <c r="S152" s="74">
        <f t="shared" si="114"/>
        <v>558</v>
      </c>
      <c r="T152" s="109">
        <f t="shared" si="137"/>
        <v>324</v>
      </c>
      <c r="U152" s="109"/>
      <c r="V152" s="28">
        <f t="shared" si="128"/>
        <v>43497</v>
      </c>
      <c r="W152" s="86">
        <v>15500</v>
      </c>
      <c r="X152" s="79">
        <f t="shared" si="115"/>
        <v>490</v>
      </c>
      <c r="Y152" s="74">
        <f t="shared" si="116"/>
        <v>62</v>
      </c>
      <c r="Z152" s="109">
        <f t="shared" si="141"/>
        <v>146</v>
      </c>
      <c r="AA152" s="28">
        <f t="shared" si="129"/>
        <v>43497</v>
      </c>
      <c r="AB152" s="85">
        <v>49500</v>
      </c>
      <c r="AC152" s="79">
        <f t="shared" si="117"/>
        <v>2499</v>
      </c>
      <c r="AD152" s="74">
        <f t="shared" si="118"/>
        <v>378</v>
      </c>
      <c r="AE152" s="109">
        <f t="shared" si="138"/>
        <v>559</v>
      </c>
      <c r="AF152" s="28">
        <f t="shared" si="131"/>
        <v>43497</v>
      </c>
      <c r="AG152" s="85">
        <v>47590</v>
      </c>
      <c r="AH152" s="79">
        <f t="shared" si="119"/>
        <v>519</v>
      </c>
      <c r="AI152" s="74">
        <f t="shared" si="120"/>
        <v>45</v>
      </c>
      <c r="AJ152" s="109">
        <f t="shared" si="139"/>
        <v>62</v>
      </c>
      <c r="AK152" s="28">
        <f t="shared" si="133"/>
        <v>43497</v>
      </c>
      <c r="AL152" s="85">
        <v>28400</v>
      </c>
      <c r="AM152" s="79">
        <f t="shared" si="121"/>
        <v>1322</v>
      </c>
      <c r="AN152" s="74">
        <f t="shared" si="122"/>
        <v>214</v>
      </c>
      <c r="AO152" s="216"/>
      <c r="AP152" s="216"/>
      <c r="AQ152" s="109">
        <f t="shared" si="140"/>
        <v>239</v>
      </c>
      <c r="AR152" s="109"/>
      <c r="AS152" s="109"/>
      <c r="AW152" s="102">
        <v>9</v>
      </c>
      <c r="AX152" s="180">
        <v>66.2</v>
      </c>
      <c r="AY152" s="102">
        <f>ROUND(AW152*AX152,2)</f>
        <v>595.79999999999995</v>
      </c>
    </row>
    <row r="153" spans="1:51" x14ac:dyDescent="0.25">
      <c r="C153" s="28">
        <v>43525</v>
      </c>
      <c r="D153" s="28"/>
      <c r="E153" s="85">
        <v>172858</v>
      </c>
      <c r="F153" s="79">
        <f t="shared" si="109"/>
        <v>6368</v>
      </c>
      <c r="G153" s="74">
        <f t="shared" si="110"/>
        <v>1084</v>
      </c>
      <c r="H153" s="109">
        <f t="shared" si="135"/>
        <v>1117</v>
      </c>
      <c r="I153" s="28">
        <f t="shared" si="124"/>
        <v>43525</v>
      </c>
      <c r="J153" s="284"/>
      <c r="K153" s="86">
        <v>49518</v>
      </c>
      <c r="L153" s="79">
        <f t="shared" si="111"/>
        <v>520</v>
      </c>
      <c r="M153" s="74">
        <f t="shared" si="112"/>
        <v>-35</v>
      </c>
      <c r="N153" s="109">
        <f t="shared" si="136"/>
        <v>-67</v>
      </c>
      <c r="O153" s="28">
        <f t="shared" si="126"/>
        <v>43525</v>
      </c>
      <c r="P153" s="284"/>
      <c r="Q153" s="86">
        <v>52415</v>
      </c>
      <c r="R153" s="79">
        <f t="shared" si="113"/>
        <v>2995</v>
      </c>
      <c r="S153" s="74">
        <f t="shared" si="114"/>
        <v>463</v>
      </c>
      <c r="T153" s="109">
        <f t="shared" si="137"/>
        <v>268</v>
      </c>
      <c r="U153" s="109"/>
      <c r="V153" s="28">
        <f t="shared" si="128"/>
        <v>43525</v>
      </c>
      <c r="W153" s="86">
        <v>15562</v>
      </c>
      <c r="X153" s="79">
        <f t="shared" si="115"/>
        <v>552</v>
      </c>
      <c r="Y153" s="74">
        <f t="shared" si="116"/>
        <v>46</v>
      </c>
      <c r="Z153" s="109">
        <f t="shared" si="141"/>
        <v>104</v>
      </c>
      <c r="AA153" s="28">
        <f t="shared" si="129"/>
        <v>43525</v>
      </c>
      <c r="AB153" s="85">
        <v>49878</v>
      </c>
      <c r="AC153" s="79">
        <f t="shared" si="117"/>
        <v>2877</v>
      </c>
      <c r="AD153" s="74">
        <f t="shared" si="118"/>
        <v>402</v>
      </c>
      <c r="AE153" s="109">
        <f t="shared" si="138"/>
        <v>400</v>
      </c>
      <c r="AF153" s="28">
        <f t="shared" si="131"/>
        <v>43525</v>
      </c>
      <c r="AG153" s="85">
        <v>47635</v>
      </c>
      <c r="AH153" s="79">
        <f t="shared" si="119"/>
        <v>564</v>
      </c>
      <c r="AI153" s="74">
        <f t="shared" si="120"/>
        <v>1</v>
      </c>
      <c r="AJ153" s="109">
        <f t="shared" si="139"/>
        <v>1</v>
      </c>
      <c r="AK153" s="28">
        <f t="shared" si="133"/>
        <v>43525</v>
      </c>
      <c r="AL153" s="85">
        <v>28614</v>
      </c>
      <c r="AM153" s="79">
        <f t="shared" si="121"/>
        <v>1536</v>
      </c>
      <c r="AN153" s="74">
        <f t="shared" si="122"/>
        <v>244</v>
      </c>
      <c r="AO153" s="216"/>
      <c r="AP153" s="216"/>
      <c r="AQ153" s="109">
        <f t="shared" si="140"/>
        <v>215</v>
      </c>
      <c r="AR153" s="109"/>
      <c r="AS153" s="109"/>
    </row>
    <row r="154" spans="1:51" x14ac:dyDescent="0.25">
      <c r="C154" s="28">
        <v>43556</v>
      </c>
      <c r="D154" s="28"/>
      <c r="E154" s="85">
        <v>173942</v>
      </c>
      <c r="F154" s="79">
        <f t="shared" ref="F154:F157" si="142">E154-CG_EX_NUIT</f>
        <v>7452</v>
      </c>
      <c r="G154" s="74">
        <f t="shared" si="110"/>
        <v>132</v>
      </c>
      <c r="H154" s="109">
        <f t="shared" si="135"/>
        <v>710</v>
      </c>
      <c r="I154" s="28">
        <f t="shared" ref="I154:I159" si="143">C154</f>
        <v>43556</v>
      </c>
      <c r="J154" s="284"/>
      <c r="K154" s="86">
        <v>49483</v>
      </c>
      <c r="L154" s="79">
        <f t="shared" ref="L154:L157" si="144">K154-CG_JOUR</f>
        <v>485</v>
      </c>
      <c r="M154" s="74">
        <f t="shared" si="112"/>
        <v>-107</v>
      </c>
      <c r="N154" s="109">
        <f t="shared" si="136"/>
        <v>-91</v>
      </c>
      <c r="O154" s="28">
        <f t="shared" ref="O154:O159" si="145">C154</f>
        <v>43556</v>
      </c>
      <c r="P154" s="284"/>
      <c r="Q154" s="86">
        <v>52878</v>
      </c>
      <c r="R154" s="79">
        <f t="shared" ref="R154:R158" si="146">Q154-CG_NUIT</f>
        <v>3458</v>
      </c>
      <c r="S154" s="74">
        <f t="shared" si="114"/>
        <v>339</v>
      </c>
      <c r="T154" s="109">
        <f t="shared" si="137"/>
        <v>240</v>
      </c>
      <c r="U154" s="109"/>
      <c r="V154" s="28">
        <f t="shared" ref="V154:V159" si="147">O154</f>
        <v>43556</v>
      </c>
      <c r="W154" s="86">
        <v>15608</v>
      </c>
      <c r="X154" s="79">
        <f t="shared" ref="X154:X158" si="148">W154-MCS_JOUR</f>
        <v>598</v>
      </c>
      <c r="Y154" s="74">
        <f t="shared" si="116"/>
        <v>46</v>
      </c>
      <c r="Z154" s="109">
        <f t="shared" si="141"/>
        <v>44</v>
      </c>
      <c r="AA154" s="28">
        <f t="shared" ref="AA154:AA159" si="149">V154</f>
        <v>43556</v>
      </c>
      <c r="AB154" s="85">
        <v>50280</v>
      </c>
      <c r="AC154" s="79">
        <f t="shared" ref="AC154:AC158" si="150">AB154-MCS_NUIT</f>
        <v>3279</v>
      </c>
      <c r="AD154" s="74">
        <f t="shared" si="118"/>
        <v>225</v>
      </c>
      <c r="AE154" s="109">
        <f t="shared" si="138"/>
        <v>264</v>
      </c>
      <c r="AF154" s="28">
        <f t="shared" ref="AF154:AF159" si="151">O154</f>
        <v>43556</v>
      </c>
      <c r="AG154" s="85">
        <v>47636</v>
      </c>
      <c r="AH154" s="79">
        <f t="shared" ref="AH154:AH158" si="152">AG154-GITE</f>
        <v>565</v>
      </c>
      <c r="AI154" s="74">
        <f t="shared" si="120"/>
        <v>17</v>
      </c>
      <c r="AJ154" s="109">
        <f t="shared" si="139"/>
        <v>2</v>
      </c>
      <c r="AK154" s="28">
        <f t="shared" ref="AK154:AK159" si="153">O154</f>
        <v>43556</v>
      </c>
      <c r="AL154" s="85">
        <v>28858</v>
      </c>
      <c r="AM154" s="79">
        <f t="shared" si="121"/>
        <v>1780</v>
      </c>
      <c r="AN154" s="74">
        <f t="shared" si="122"/>
        <v>385</v>
      </c>
      <c r="AO154" s="216"/>
      <c r="AP154" s="216"/>
      <c r="AQ154" s="109">
        <f t="shared" si="140"/>
        <v>372</v>
      </c>
      <c r="AR154" s="109"/>
      <c r="AS154" s="109"/>
    </row>
    <row r="155" spans="1:51" x14ac:dyDescent="0.25">
      <c r="A155" s="110">
        <f>M155</f>
        <v>-182</v>
      </c>
      <c r="B155" s="110">
        <f>G155+S155</f>
        <v>238</v>
      </c>
      <c r="C155" s="28">
        <v>43586</v>
      </c>
      <c r="D155" s="28"/>
      <c r="E155" s="85">
        <v>174074</v>
      </c>
      <c r="F155" s="79">
        <f t="shared" si="142"/>
        <v>7584</v>
      </c>
      <c r="G155" s="74">
        <f t="shared" si="110"/>
        <v>27</v>
      </c>
      <c r="H155" s="109">
        <f t="shared" si="135"/>
        <v>8</v>
      </c>
      <c r="I155" s="28">
        <f t="shared" si="143"/>
        <v>43586</v>
      </c>
      <c r="J155" s="284">
        <f>J156-M155</f>
        <v>355</v>
      </c>
      <c r="K155" s="86">
        <v>49376</v>
      </c>
      <c r="L155" s="79">
        <f t="shared" si="144"/>
        <v>378</v>
      </c>
      <c r="M155" s="74">
        <f t="shared" si="112"/>
        <v>-182</v>
      </c>
      <c r="N155" s="109">
        <f t="shared" si="136"/>
        <v>-177</v>
      </c>
      <c r="O155" s="28">
        <f t="shared" si="145"/>
        <v>43586</v>
      </c>
      <c r="P155" s="284">
        <f>P156-S155-G155</f>
        <v>-4748</v>
      </c>
      <c r="Q155" s="86">
        <v>53217</v>
      </c>
      <c r="R155" s="79">
        <f t="shared" si="146"/>
        <v>3797</v>
      </c>
      <c r="S155" s="74">
        <f t="shared" si="114"/>
        <v>211</v>
      </c>
      <c r="T155" s="109">
        <f t="shared" si="137"/>
        <v>143</v>
      </c>
      <c r="U155" s="109"/>
      <c r="V155" s="28">
        <f t="shared" si="147"/>
        <v>43586</v>
      </c>
      <c r="W155" s="86">
        <v>15654</v>
      </c>
      <c r="X155" s="79">
        <f t="shared" si="148"/>
        <v>644</v>
      </c>
      <c r="Y155" s="74">
        <f t="shared" si="116"/>
        <v>51</v>
      </c>
      <c r="Z155" s="109">
        <f t="shared" si="141"/>
        <v>51</v>
      </c>
      <c r="AA155" s="28">
        <f t="shared" si="149"/>
        <v>43586</v>
      </c>
      <c r="AB155" s="85">
        <v>50505</v>
      </c>
      <c r="AC155" s="79">
        <f t="shared" si="150"/>
        <v>3504</v>
      </c>
      <c r="AD155" s="74">
        <f t="shared" si="118"/>
        <v>232</v>
      </c>
      <c r="AE155" s="109">
        <f t="shared" si="138"/>
        <v>130</v>
      </c>
      <c r="AF155" s="28">
        <f t="shared" si="151"/>
        <v>43586</v>
      </c>
      <c r="AG155" s="85">
        <v>47653</v>
      </c>
      <c r="AH155" s="79">
        <f t="shared" si="152"/>
        <v>582</v>
      </c>
      <c r="AI155" s="74">
        <f t="shared" si="120"/>
        <v>32</v>
      </c>
      <c r="AJ155" s="109">
        <f t="shared" si="139"/>
        <v>1</v>
      </c>
      <c r="AK155" s="28">
        <f t="shared" si="153"/>
        <v>43586</v>
      </c>
      <c r="AL155" s="85">
        <v>29243</v>
      </c>
      <c r="AM155" s="79">
        <f t="shared" si="121"/>
        <v>2165</v>
      </c>
      <c r="AN155" s="74">
        <f t="shared" si="122"/>
        <v>488</v>
      </c>
      <c r="AO155" s="216"/>
      <c r="AP155" s="216"/>
      <c r="AQ155" s="109">
        <f t="shared" si="140"/>
        <v>474</v>
      </c>
      <c r="AR155" s="109"/>
      <c r="AS155" s="109"/>
    </row>
    <row r="156" spans="1:51" x14ac:dyDescent="0.25">
      <c r="A156" s="110">
        <f>M156</f>
        <v>-188</v>
      </c>
      <c r="B156" s="110">
        <f>G156+S156</f>
        <v>121</v>
      </c>
      <c r="C156" s="28">
        <v>43617</v>
      </c>
      <c r="D156" s="28"/>
      <c r="E156" s="85">
        <v>174101</v>
      </c>
      <c r="F156" s="79">
        <f t="shared" si="142"/>
        <v>7611</v>
      </c>
      <c r="G156" s="74">
        <f t="shared" si="110"/>
        <v>0</v>
      </c>
      <c r="H156" s="109">
        <f t="shared" si="135"/>
        <v>0</v>
      </c>
      <c r="I156" s="28">
        <f t="shared" si="143"/>
        <v>43617</v>
      </c>
      <c r="J156" s="284">
        <f t="shared" ref="J156:J172" si="154">J157-M156</f>
        <v>173</v>
      </c>
      <c r="K156" s="86">
        <v>49194</v>
      </c>
      <c r="L156" s="79">
        <f t="shared" si="144"/>
        <v>196</v>
      </c>
      <c r="M156" s="74">
        <f t="shared" si="112"/>
        <v>-188</v>
      </c>
      <c r="N156" s="109">
        <f t="shared" si="136"/>
        <v>-60</v>
      </c>
      <c r="O156" s="28">
        <f t="shared" si="145"/>
        <v>43617</v>
      </c>
      <c r="P156" s="284">
        <f>P157-S156-G156</f>
        <v>-4510</v>
      </c>
      <c r="Q156" s="86">
        <v>53428</v>
      </c>
      <c r="R156" s="79">
        <f t="shared" si="146"/>
        <v>4008</v>
      </c>
      <c r="S156" s="74">
        <f t="shared" si="114"/>
        <v>121</v>
      </c>
      <c r="T156" s="109">
        <f t="shared" si="137"/>
        <v>111</v>
      </c>
      <c r="U156" s="109"/>
      <c r="V156" s="28">
        <f t="shared" si="147"/>
        <v>43617</v>
      </c>
      <c r="W156" s="86">
        <v>15705</v>
      </c>
      <c r="X156" s="79">
        <f t="shared" si="148"/>
        <v>695</v>
      </c>
      <c r="Y156" s="74">
        <f t="shared" si="116"/>
        <v>63</v>
      </c>
      <c r="Z156" s="109">
        <f t="shared" si="141"/>
        <v>35</v>
      </c>
      <c r="AA156" s="28">
        <f t="shared" si="149"/>
        <v>43617</v>
      </c>
      <c r="AB156" s="85">
        <v>50737</v>
      </c>
      <c r="AC156" s="79">
        <f t="shared" si="150"/>
        <v>3736</v>
      </c>
      <c r="AD156" s="74">
        <f t="shared" si="118"/>
        <v>147</v>
      </c>
      <c r="AE156" s="109">
        <f t="shared" si="138"/>
        <v>41</v>
      </c>
      <c r="AF156" s="28">
        <f t="shared" si="151"/>
        <v>43617</v>
      </c>
      <c r="AG156" s="85">
        <v>47685</v>
      </c>
      <c r="AH156" s="79">
        <f t="shared" si="152"/>
        <v>614</v>
      </c>
      <c r="AI156" s="74">
        <f t="shared" si="120"/>
        <v>49</v>
      </c>
      <c r="AJ156" s="109">
        <f t="shared" si="139"/>
        <v>0</v>
      </c>
      <c r="AK156" s="28">
        <f t="shared" si="153"/>
        <v>43617</v>
      </c>
      <c r="AL156" s="85">
        <v>29731</v>
      </c>
      <c r="AM156" s="79">
        <f t="shared" si="121"/>
        <v>2653</v>
      </c>
      <c r="AN156" s="74">
        <f t="shared" si="122"/>
        <v>439</v>
      </c>
      <c r="AO156" s="216"/>
      <c r="AP156" s="216"/>
      <c r="AQ156" s="109">
        <f t="shared" si="140"/>
        <v>350</v>
      </c>
      <c r="AR156" s="109"/>
      <c r="AS156" s="109"/>
    </row>
    <row r="157" spans="1:51" ht="15.75" thickBot="1" x14ac:dyDescent="0.3">
      <c r="A157" s="110">
        <f>M157</f>
        <v>-296</v>
      </c>
      <c r="B157" s="110">
        <f>G157+S157</f>
        <v>61</v>
      </c>
      <c r="C157" s="28">
        <v>43647</v>
      </c>
      <c r="D157" s="28"/>
      <c r="E157" s="85">
        <v>174101</v>
      </c>
      <c r="F157" s="79">
        <f t="shared" si="142"/>
        <v>7611</v>
      </c>
      <c r="G157" s="74">
        <f t="shared" si="110"/>
        <v>0</v>
      </c>
      <c r="H157" s="109">
        <f t="shared" si="135"/>
        <v>0</v>
      </c>
      <c r="I157" s="28">
        <f t="shared" si="143"/>
        <v>43647</v>
      </c>
      <c r="J157" s="284">
        <f t="shared" si="154"/>
        <v>-15</v>
      </c>
      <c r="K157" s="86">
        <v>49006</v>
      </c>
      <c r="L157" s="79">
        <f t="shared" si="144"/>
        <v>8</v>
      </c>
      <c r="M157" s="74">
        <f t="shared" si="112"/>
        <v>-296</v>
      </c>
      <c r="N157" s="109">
        <f t="shared" si="136"/>
        <v>0</v>
      </c>
      <c r="O157" s="28">
        <f t="shared" si="145"/>
        <v>43647</v>
      </c>
      <c r="P157" s="284">
        <f>P158-S157-G157</f>
        <v>-4389</v>
      </c>
      <c r="Q157" s="86">
        <v>53549</v>
      </c>
      <c r="R157" s="79">
        <f t="shared" si="146"/>
        <v>4129</v>
      </c>
      <c r="S157" s="74">
        <f t="shared" si="114"/>
        <v>61</v>
      </c>
      <c r="T157" s="109">
        <f t="shared" si="137"/>
        <v>0</v>
      </c>
      <c r="U157" s="109"/>
      <c r="V157" s="28">
        <f t="shared" si="147"/>
        <v>43647</v>
      </c>
      <c r="W157" s="86">
        <v>15768</v>
      </c>
      <c r="X157" s="79">
        <f t="shared" si="148"/>
        <v>758</v>
      </c>
      <c r="Y157" s="74">
        <f t="shared" si="116"/>
        <v>101</v>
      </c>
      <c r="Z157" s="109">
        <f t="shared" si="141"/>
        <v>50</v>
      </c>
      <c r="AA157" s="28">
        <f t="shared" si="149"/>
        <v>43647</v>
      </c>
      <c r="AB157" s="85">
        <v>50884</v>
      </c>
      <c r="AC157" s="79">
        <f t="shared" si="150"/>
        <v>3883</v>
      </c>
      <c r="AD157" s="74">
        <f t="shared" si="118"/>
        <v>86</v>
      </c>
      <c r="AE157" s="109">
        <f t="shared" si="138"/>
        <v>0</v>
      </c>
      <c r="AF157" s="28">
        <f t="shared" si="151"/>
        <v>43647</v>
      </c>
      <c r="AG157" s="85">
        <v>47734</v>
      </c>
      <c r="AH157" s="79">
        <f t="shared" si="152"/>
        <v>663</v>
      </c>
      <c r="AI157" s="74">
        <f t="shared" si="120"/>
        <v>178</v>
      </c>
      <c r="AJ157" s="268" t="s">
        <v>140</v>
      </c>
      <c r="AK157" s="28">
        <f t="shared" si="153"/>
        <v>43647</v>
      </c>
      <c r="AL157" s="85">
        <v>30170</v>
      </c>
      <c r="AM157" s="79">
        <f t="shared" si="121"/>
        <v>3092</v>
      </c>
      <c r="AN157" s="74">
        <f t="shared" si="122"/>
        <v>413</v>
      </c>
      <c r="AO157" s="216">
        <v>290</v>
      </c>
      <c r="AP157" s="218">
        <f>AN157+AO157</f>
        <v>703</v>
      </c>
      <c r="AQ157" s="109">
        <f t="shared" si="140"/>
        <v>428</v>
      </c>
      <c r="AR157" s="220" t="s">
        <v>99</v>
      </c>
      <c r="AS157" s="109"/>
    </row>
    <row r="158" spans="1:51" ht="16.5" thickBot="1" x14ac:dyDescent="0.3">
      <c r="A158" s="110">
        <f>M158</f>
        <v>-559</v>
      </c>
      <c r="B158" s="110">
        <f>G158+S158</f>
        <v>45</v>
      </c>
      <c r="C158" s="193">
        <v>43669</v>
      </c>
      <c r="D158" s="174" t="s">
        <v>88</v>
      </c>
      <c r="E158" s="195">
        <v>174101</v>
      </c>
      <c r="F158" s="196">
        <f>E158-CG_EX_NUIT</f>
        <v>7611</v>
      </c>
      <c r="G158" s="197">
        <f t="shared" si="110"/>
        <v>0</v>
      </c>
      <c r="H158" s="198">
        <f t="shared" si="135"/>
        <v>0</v>
      </c>
      <c r="I158" s="199">
        <f t="shared" si="143"/>
        <v>43669</v>
      </c>
      <c r="J158" s="284">
        <f t="shared" si="154"/>
        <v>-311</v>
      </c>
      <c r="K158" s="200">
        <v>48710</v>
      </c>
      <c r="L158" s="201">
        <v>0</v>
      </c>
      <c r="M158" s="197">
        <f t="shared" si="112"/>
        <v>-559</v>
      </c>
      <c r="N158" s="198">
        <f>M145</f>
        <v>-95</v>
      </c>
      <c r="O158" s="199">
        <f t="shared" si="145"/>
        <v>43669</v>
      </c>
      <c r="P158" s="284">
        <f>P159-S158-G158</f>
        <v>-4328</v>
      </c>
      <c r="Q158" s="200">
        <v>53610</v>
      </c>
      <c r="R158" s="201">
        <f t="shared" si="146"/>
        <v>4190</v>
      </c>
      <c r="S158" s="197">
        <f t="shared" si="114"/>
        <v>45</v>
      </c>
      <c r="T158" s="198">
        <f t="shared" si="137"/>
        <v>0</v>
      </c>
      <c r="U158" s="198"/>
      <c r="V158" s="205">
        <f t="shared" si="147"/>
        <v>43669</v>
      </c>
      <c r="W158" s="206">
        <v>15869</v>
      </c>
      <c r="X158" s="207">
        <f t="shared" si="148"/>
        <v>859</v>
      </c>
      <c r="Y158" s="208">
        <f t="shared" si="116"/>
        <v>143</v>
      </c>
      <c r="Z158" s="198">
        <v>47</v>
      </c>
      <c r="AA158" s="205">
        <f t="shared" si="149"/>
        <v>43669</v>
      </c>
      <c r="AB158" s="209">
        <v>50970</v>
      </c>
      <c r="AC158" s="207">
        <f t="shared" si="150"/>
        <v>3969</v>
      </c>
      <c r="AD158" s="197">
        <f t="shared" si="118"/>
        <v>99</v>
      </c>
      <c r="AE158" s="198">
        <f>AD145</f>
        <v>38</v>
      </c>
      <c r="AF158" s="194">
        <f t="shared" si="151"/>
        <v>43669</v>
      </c>
      <c r="AG158" s="210">
        <v>47912</v>
      </c>
      <c r="AH158" s="211">
        <f t="shared" si="152"/>
        <v>841</v>
      </c>
      <c r="AI158" s="197">
        <f t="shared" si="120"/>
        <v>177</v>
      </c>
      <c r="AJ158" s="198">
        <f>AI145</f>
        <v>0</v>
      </c>
      <c r="AK158" s="194">
        <f t="shared" si="153"/>
        <v>43669</v>
      </c>
      <c r="AL158" s="202">
        <v>30583</v>
      </c>
      <c r="AM158" s="201">
        <f t="shared" si="121"/>
        <v>3505</v>
      </c>
      <c r="AN158" s="197">
        <f t="shared" si="122"/>
        <v>460</v>
      </c>
      <c r="AO158" s="203">
        <v>325</v>
      </c>
      <c r="AP158" s="219">
        <f t="shared" ref="AP158:AP173" si="155">AN158+AO158</f>
        <v>785</v>
      </c>
      <c r="AQ158" s="204">
        <f t="shared" si="140"/>
        <v>593</v>
      </c>
      <c r="AR158" s="220" t="s">
        <v>109</v>
      </c>
      <c r="AS158" s="220"/>
      <c r="AT158" s="184">
        <v>43670</v>
      </c>
      <c r="AU158" s="189">
        <v>30542</v>
      </c>
      <c r="AV158" s="183">
        <f>AU158-AU151</f>
        <v>2178</v>
      </c>
      <c r="AW158" s="187">
        <f>ROUND(AV158/1000*7,3)</f>
        <v>15.246</v>
      </c>
    </row>
    <row r="159" spans="1:51" x14ac:dyDescent="0.25">
      <c r="A159" s="110">
        <f>M159</f>
        <v>-97</v>
      </c>
      <c r="B159" s="110">
        <f>G159+S159</f>
        <v>1</v>
      </c>
      <c r="C159" s="28">
        <v>43709</v>
      </c>
      <c r="D159" s="28"/>
      <c r="E159" s="85">
        <v>174101</v>
      </c>
      <c r="F159" s="79">
        <f t="shared" ref="F159:F163" si="156">E159-CG_EN_2019</f>
        <v>0</v>
      </c>
      <c r="G159" s="74">
        <f t="shared" si="110"/>
        <v>0</v>
      </c>
      <c r="H159" s="109">
        <f>G147</f>
        <v>0</v>
      </c>
      <c r="I159" s="28">
        <f t="shared" si="143"/>
        <v>43709</v>
      </c>
      <c r="J159" s="284">
        <f t="shared" si="154"/>
        <v>-870</v>
      </c>
      <c r="K159" s="86">
        <v>48151</v>
      </c>
      <c r="L159" s="79">
        <f t="shared" ref="L159:L163" si="157">K159-CG_J_2019</f>
        <v>-559</v>
      </c>
      <c r="M159" s="74">
        <f t="shared" si="112"/>
        <v>-97</v>
      </c>
      <c r="N159" s="109">
        <f>M147</f>
        <v>-77</v>
      </c>
      <c r="O159" s="28">
        <f t="shared" si="145"/>
        <v>43709</v>
      </c>
      <c r="P159" s="284">
        <f>P160-S159-G159</f>
        <v>-4283</v>
      </c>
      <c r="Q159" s="86">
        <v>53655</v>
      </c>
      <c r="R159" s="79">
        <f t="shared" ref="R159:R163" si="158">Q159-CG_N_2019</f>
        <v>45</v>
      </c>
      <c r="S159" s="74">
        <f t="shared" si="114"/>
        <v>1</v>
      </c>
      <c r="T159" s="109">
        <f>S147</f>
        <v>152</v>
      </c>
      <c r="U159" s="109"/>
      <c r="V159" s="28">
        <f t="shared" si="147"/>
        <v>43709</v>
      </c>
      <c r="W159" s="86">
        <v>16012</v>
      </c>
      <c r="X159" s="79">
        <f t="shared" ref="X159:X172" si="159">W159-MCS_J_2019</f>
        <v>143</v>
      </c>
      <c r="Y159" s="74">
        <f t="shared" si="116"/>
        <v>124</v>
      </c>
      <c r="Z159" s="109">
        <f>Y147</f>
        <v>41</v>
      </c>
      <c r="AA159" s="28">
        <f t="shared" si="149"/>
        <v>43709</v>
      </c>
      <c r="AB159" s="85">
        <v>51069</v>
      </c>
      <c r="AC159" s="79">
        <f t="shared" ref="AC159:AC172" si="160">AB159-MCS_N_2019</f>
        <v>99</v>
      </c>
      <c r="AD159" s="74">
        <f t="shared" si="118"/>
        <v>156</v>
      </c>
      <c r="AE159" s="109">
        <f>AD147</f>
        <v>39</v>
      </c>
      <c r="AF159" s="28">
        <f t="shared" si="151"/>
        <v>43709</v>
      </c>
      <c r="AG159" s="85">
        <v>48089</v>
      </c>
      <c r="AH159" s="79">
        <f t="shared" ref="AH159:AH183" si="161">AG159-G_2019</f>
        <v>177</v>
      </c>
      <c r="AI159" s="74">
        <f t="shared" si="120"/>
        <v>188</v>
      </c>
      <c r="AJ159" s="109">
        <f>AI147</f>
        <v>0</v>
      </c>
      <c r="AK159" s="28">
        <f t="shared" si="153"/>
        <v>43709</v>
      </c>
      <c r="AL159" s="85">
        <v>31043</v>
      </c>
      <c r="AM159" s="79">
        <f t="shared" ref="AM159:AM183" si="162">AL159-PROD_2019</f>
        <v>460</v>
      </c>
      <c r="AN159" s="74">
        <f t="shared" si="122"/>
        <v>273</v>
      </c>
      <c r="AO159" s="216">
        <v>236</v>
      </c>
      <c r="AP159" s="218">
        <f t="shared" si="155"/>
        <v>509</v>
      </c>
      <c r="AQ159" s="109">
        <f>AN147</f>
        <v>288</v>
      </c>
      <c r="AR159" s="109">
        <v>0</v>
      </c>
      <c r="AS159" s="109"/>
    </row>
    <row r="160" spans="1:51" x14ac:dyDescent="0.25">
      <c r="A160" s="110">
        <f>M160</f>
        <v>312</v>
      </c>
      <c r="B160" s="110">
        <f>G160+S160</f>
        <v>198</v>
      </c>
      <c r="C160" s="28">
        <v>43739</v>
      </c>
      <c r="D160" s="28"/>
      <c r="E160" s="85">
        <v>174101</v>
      </c>
      <c r="F160" s="79">
        <f t="shared" si="156"/>
        <v>0</v>
      </c>
      <c r="G160" s="74">
        <f t="shared" si="110"/>
        <v>45</v>
      </c>
      <c r="H160" s="109">
        <f t="shared" ref="H160:H163" si="163">G148</f>
        <v>260</v>
      </c>
      <c r="I160" s="28">
        <f t="shared" ref="I160:I183" si="164">C160</f>
        <v>43739</v>
      </c>
      <c r="J160" s="284">
        <f t="shared" si="154"/>
        <v>-967</v>
      </c>
      <c r="K160" s="86">
        <v>48054</v>
      </c>
      <c r="L160" s="79">
        <f t="shared" si="157"/>
        <v>-656</v>
      </c>
      <c r="M160" s="74">
        <f t="shared" si="112"/>
        <v>312</v>
      </c>
      <c r="N160" s="109">
        <f t="shared" ref="N160:N163" si="165">M148</f>
        <v>24</v>
      </c>
      <c r="O160" s="28">
        <f t="shared" ref="O160:O183" si="166">C160</f>
        <v>43739</v>
      </c>
      <c r="P160" s="284">
        <f>P161-S160-G160</f>
        <v>-4282</v>
      </c>
      <c r="Q160" s="86">
        <v>53656</v>
      </c>
      <c r="R160" s="79">
        <f t="shared" si="158"/>
        <v>46</v>
      </c>
      <c r="S160" s="74">
        <f t="shared" si="114"/>
        <v>153</v>
      </c>
      <c r="T160" s="109">
        <f t="shared" ref="T160:T163" si="167">S148</f>
        <v>338</v>
      </c>
      <c r="U160" s="109"/>
      <c r="V160" s="28">
        <f t="shared" ref="V160:V183" si="168">O160</f>
        <v>43739</v>
      </c>
      <c r="W160" s="86">
        <v>16136</v>
      </c>
      <c r="X160" s="79">
        <f t="shared" si="159"/>
        <v>267</v>
      </c>
      <c r="Y160" s="74">
        <f t="shared" si="116"/>
        <v>175</v>
      </c>
      <c r="Z160" s="109">
        <f t="shared" ref="Z160:Z163" si="169">Y148</f>
        <v>27</v>
      </c>
      <c r="AA160" s="28">
        <f t="shared" ref="AA160:AA183" si="170">V160</f>
        <v>43739</v>
      </c>
      <c r="AB160" s="85">
        <v>51225</v>
      </c>
      <c r="AC160" s="79">
        <f t="shared" si="160"/>
        <v>255</v>
      </c>
      <c r="AD160" s="74">
        <f t="shared" si="118"/>
        <v>244</v>
      </c>
      <c r="AE160" s="109">
        <f t="shared" ref="AE160:AE163" si="171">AD148</f>
        <v>322</v>
      </c>
      <c r="AF160" s="28">
        <f t="shared" ref="AF160:AF183" si="172">O160</f>
        <v>43739</v>
      </c>
      <c r="AG160" s="85">
        <v>48277</v>
      </c>
      <c r="AH160" s="79">
        <f t="shared" si="161"/>
        <v>365</v>
      </c>
      <c r="AI160" s="74">
        <f t="shared" si="120"/>
        <v>208</v>
      </c>
      <c r="AJ160" s="109">
        <f t="shared" ref="AJ160:AJ163" si="173">AI148</f>
        <v>4</v>
      </c>
      <c r="AK160" s="28">
        <f t="shared" ref="AK160:AK183" si="174">O160</f>
        <v>43739</v>
      </c>
      <c r="AL160" s="85">
        <v>31316</v>
      </c>
      <c r="AM160" s="79">
        <f t="shared" si="162"/>
        <v>733</v>
      </c>
      <c r="AN160" s="74">
        <f t="shared" si="122"/>
        <v>137</v>
      </c>
      <c r="AO160" s="216">
        <v>101</v>
      </c>
      <c r="AP160" s="218">
        <f t="shared" si="155"/>
        <v>238</v>
      </c>
      <c r="AQ160" s="109">
        <f t="shared" ref="AQ160:AQ163" si="175">AN148</f>
        <v>231</v>
      </c>
      <c r="AR160" s="109">
        <f>SUM(AO157:AO160)</f>
        <v>952</v>
      </c>
      <c r="AS160" s="109"/>
    </row>
    <row r="161" spans="1:49" x14ac:dyDescent="0.25">
      <c r="A161" s="110">
        <f>M161</f>
        <v>320</v>
      </c>
      <c r="B161" s="110">
        <f>G161+S161</f>
        <v>1172</v>
      </c>
      <c r="C161" s="28">
        <v>43770</v>
      </c>
      <c r="D161" s="28"/>
      <c r="E161" s="85">
        <v>174146</v>
      </c>
      <c r="F161" s="79">
        <f t="shared" si="156"/>
        <v>45</v>
      </c>
      <c r="G161" s="74">
        <f t="shared" si="110"/>
        <v>818</v>
      </c>
      <c r="H161" s="109">
        <f t="shared" si="163"/>
        <v>975</v>
      </c>
      <c r="I161" s="28">
        <f t="shared" si="164"/>
        <v>43770</v>
      </c>
      <c r="J161" s="284">
        <f t="shared" si="154"/>
        <v>-655</v>
      </c>
      <c r="K161" s="86">
        <v>48366</v>
      </c>
      <c r="L161" s="79">
        <f t="shared" si="157"/>
        <v>-344</v>
      </c>
      <c r="M161" s="74">
        <f t="shared" si="112"/>
        <v>320</v>
      </c>
      <c r="N161" s="109">
        <f t="shared" si="165"/>
        <v>195</v>
      </c>
      <c r="O161" s="28">
        <f t="shared" si="166"/>
        <v>43770</v>
      </c>
      <c r="P161" s="284">
        <f>P162-S161-G161</f>
        <v>-4084</v>
      </c>
      <c r="Q161" s="86">
        <v>53809</v>
      </c>
      <c r="R161" s="79">
        <f t="shared" si="158"/>
        <v>199</v>
      </c>
      <c r="S161" s="74">
        <f t="shared" si="114"/>
        <v>354</v>
      </c>
      <c r="T161" s="109">
        <f t="shared" si="167"/>
        <v>562</v>
      </c>
      <c r="U161" s="109"/>
      <c r="V161" s="28">
        <f t="shared" si="168"/>
        <v>43770</v>
      </c>
      <c r="W161" s="86">
        <v>16311</v>
      </c>
      <c r="X161" s="79">
        <f t="shared" si="159"/>
        <v>442</v>
      </c>
      <c r="Y161" s="74">
        <f t="shared" si="116"/>
        <v>192</v>
      </c>
      <c r="Z161" s="109">
        <f t="shared" si="169"/>
        <v>93</v>
      </c>
      <c r="AA161" s="28">
        <f t="shared" si="170"/>
        <v>43770</v>
      </c>
      <c r="AB161" s="85">
        <v>51469</v>
      </c>
      <c r="AC161" s="79">
        <f t="shared" si="160"/>
        <v>499</v>
      </c>
      <c r="AD161" s="74">
        <f t="shared" si="118"/>
        <v>783</v>
      </c>
      <c r="AE161" s="109">
        <f t="shared" si="171"/>
        <v>480</v>
      </c>
      <c r="AF161" s="28">
        <f t="shared" si="172"/>
        <v>43770</v>
      </c>
      <c r="AG161" s="85">
        <v>48485</v>
      </c>
      <c r="AH161" s="79">
        <f t="shared" si="161"/>
        <v>573</v>
      </c>
      <c r="AI161" s="74">
        <f t="shared" si="120"/>
        <v>494</v>
      </c>
      <c r="AJ161" s="109">
        <f t="shared" si="173"/>
        <v>57</v>
      </c>
      <c r="AK161" s="28">
        <f t="shared" si="174"/>
        <v>43770</v>
      </c>
      <c r="AL161" s="85">
        <v>31453</v>
      </c>
      <c r="AM161" s="79">
        <f t="shared" si="162"/>
        <v>870</v>
      </c>
      <c r="AN161" s="74">
        <f t="shared" si="122"/>
        <v>73</v>
      </c>
      <c r="AO161" s="216">
        <f>AR161-AR160</f>
        <v>54</v>
      </c>
      <c r="AP161" s="218">
        <f t="shared" si="155"/>
        <v>127</v>
      </c>
      <c r="AQ161" s="109">
        <f t="shared" si="175"/>
        <v>98</v>
      </c>
      <c r="AR161" s="109">
        <v>1006</v>
      </c>
    </row>
    <row r="162" spans="1:49" x14ac:dyDescent="0.25">
      <c r="A162" s="110">
        <f>M162</f>
        <v>169</v>
      </c>
      <c r="B162" s="110">
        <f>G162+S162</f>
        <v>2374</v>
      </c>
      <c r="C162" s="28">
        <v>43800</v>
      </c>
      <c r="D162" s="28"/>
      <c r="E162" s="85">
        <v>174964</v>
      </c>
      <c r="F162" s="79">
        <f t="shared" si="156"/>
        <v>863</v>
      </c>
      <c r="G162" s="74">
        <f t="shared" si="110"/>
        <v>1833</v>
      </c>
      <c r="H162" s="109">
        <f t="shared" si="163"/>
        <v>1759</v>
      </c>
      <c r="I162" s="28">
        <f t="shared" si="164"/>
        <v>43800</v>
      </c>
      <c r="J162" s="284">
        <f t="shared" si="154"/>
        <v>-335</v>
      </c>
      <c r="K162" s="86">
        <v>48686</v>
      </c>
      <c r="L162" s="79">
        <f t="shared" si="157"/>
        <v>-24</v>
      </c>
      <c r="M162" s="74">
        <f>K163-K162</f>
        <v>169</v>
      </c>
      <c r="N162" s="109">
        <f t="shared" si="165"/>
        <v>210</v>
      </c>
      <c r="O162" s="28">
        <f t="shared" si="166"/>
        <v>43800</v>
      </c>
      <c r="P162" s="284">
        <f>P163-S162-G162</f>
        <v>-2912</v>
      </c>
      <c r="Q162" s="86">
        <v>54163</v>
      </c>
      <c r="R162" s="79">
        <f t="shared" si="158"/>
        <v>553</v>
      </c>
      <c r="S162" s="74">
        <f t="shared" si="114"/>
        <v>541</v>
      </c>
      <c r="T162" s="109">
        <f t="shared" si="167"/>
        <v>626</v>
      </c>
      <c r="U162" s="109"/>
      <c r="V162" s="28">
        <f t="shared" si="168"/>
        <v>43800</v>
      </c>
      <c r="W162" s="86">
        <v>16503</v>
      </c>
      <c r="X162" s="79">
        <f t="shared" si="159"/>
        <v>634</v>
      </c>
      <c r="Y162" s="74">
        <f t="shared" si="116"/>
        <v>179</v>
      </c>
      <c r="Z162" s="109">
        <f t="shared" si="169"/>
        <v>115</v>
      </c>
      <c r="AA162" s="28">
        <f t="shared" si="170"/>
        <v>43800</v>
      </c>
      <c r="AB162" s="85">
        <v>52252</v>
      </c>
      <c r="AC162" s="79">
        <f t="shared" si="160"/>
        <v>1282</v>
      </c>
      <c r="AD162" s="74">
        <f t="shared" si="118"/>
        <v>932</v>
      </c>
      <c r="AE162" s="109">
        <f t="shared" si="171"/>
        <v>648</v>
      </c>
      <c r="AF162" s="28">
        <f t="shared" si="172"/>
        <v>43800</v>
      </c>
      <c r="AG162" s="85">
        <v>48979</v>
      </c>
      <c r="AH162" s="79">
        <f t="shared" si="161"/>
        <v>1067</v>
      </c>
      <c r="AI162" s="74">
        <f t="shared" si="120"/>
        <v>549</v>
      </c>
      <c r="AJ162" s="109">
        <f t="shared" si="173"/>
        <v>176</v>
      </c>
      <c r="AK162" s="28">
        <f t="shared" si="174"/>
        <v>43800</v>
      </c>
      <c r="AL162" s="85">
        <v>31526</v>
      </c>
      <c r="AM162" s="79">
        <f t="shared" si="162"/>
        <v>943</v>
      </c>
      <c r="AN162" s="74">
        <f t="shared" si="122"/>
        <v>50</v>
      </c>
      <c r="AO162" s="216">
        <v>40</v>
      </c>
      <c r="AP162" s="218">
        <f t="shared" si="155"/>
        <v>90</v>
      </c>
      <c r="AQ162" s="109">
        <f t="shared" si="175"/>
        <v>52</v>
      </c>
      <c r="AR162" s="109"/>
      <c r="AS162" s="254"/>
      <c r="AT162" s="190"/>
      <c r="AU162" s="190"/>
      <c r="AV162" s="190"/>
    </row>
    <row r="163" spans="1:49" x14ac:dyDescent="0.25">
      <c r="A163" s="110"/>
      <c r="B163" s="110"/>
      <c r="C163" s="28">
        <v>43831</v>
      </c>
      <c r="D163" s="28"/>
      <c r="E163" s="85">
        <v>176797</v>
      </c>
      <c r="F163" s="79">
        <f t="shared" si="156"/>
        <v>2696</v>
      </c>
      <c r="G163" s="74">
        <f>E168-E163</f>
        <v>-176797</v>
      </c>
      <c r="H163" s="109">
        <f t="shared" si="163"/>
        <v>1888</v>
      </c>
      <c r="I163" s="28">
        <f t="shared" si="164"/>
        <v>43831</v>
      </c>
      <c r="J163" s="284">
        <f>J167-M163</f>
        <v>-166</v>
      </c>
      <c r="K163" s="86">
        <v>48855</v>
      </c>
      <c r="L163" s="79">
        <f t="shared" si="157"/>
        <v>145</v>
      </c>
      <c r="M163" s="74"/>
      <c r="N163" s="109">
        <f t="shared" si="165"/>
        <v>268</v>
      </c>
      <c r="O163" s="28">
        <f t="shared" si="166"/>
        <v>43831</v>
      </c>
      <c r="P163" s="284">
        <f>P167-S163</f>
        <v>-538</v>
      </c>
      <c r="Q163" s="86">
        <v>54704</v>
      </c>
      <c r="R163" s="79">
        <f t="shared" si="158"/>
        <v>1094</v>
      </c>
      <c r="S163" s="74"/>
      <c r="T163" s="109">
        <f t="shared" si="167"/>
        <v>719</v>
      </c>
      <c r="U163" s="109"/>
      <c r="V163" s="28">
        <f t="shared" si="168"/>
        <v>43831</v>
      </c>
      <c r="W163" s="86">
        <v>16682</v>
      </c>
      <c r="X163" s="79">
        <f t="shared" si="159"/>
        <v>813</v>
      </c>
      <c r="Y163" s="74">
        <f>W168-W163</f>
        <v>178</v>
      </c>
      <c r="Z163" s="109">
        <f t="shared" si="169"/>
        <v>167</v>
      </c>
      <c r="AA163" s="28">
        <f t="shared" si="170"/>
        <v>43831</v>
      </c>
      <c r="AB163" s="85">
        <v>53184</v>
      </c>
      <c r="AC163" s="79">
        <f t="shared" si="160"/>
        <v>2214</v>
      </c>
      <c r="AD163" s="74">
        <f>AB168-AB163</f>
        <v>1100</v>
      </c>
      <c r="AE163" s="109">
        <f t="shared" si="171"/>
        <v>972</v>
      </c>
      <c r="AF163" s="28">
        <f t="shared" si="172"/>
        <v>43831</v>
      </c>
      <c r="AG163" s="85">
        <v>49528</v>
      </c>
      <c r="AH163" s="79">
        <f t="shared" si="161"/>
        <v>1616</v>
      </c>
      <c r="AI163" s="74">
        <f>AG168-AG163</f>
        <v>636</v>
      </c>
      <c r="AJ163" s="109">
        <f t="shared" si="173"/>
        <v>282</v>
      </c>
      <c r="AK163" s="28">
        <f t="shared" si="174"/>
        <v>43831</v>
      </c>
      <c r="AL163" s="85">
        <v>31576</v>
      </c>
      <c r="AM163" s="79">
        <f t="shared" si="162"/>
        <v>993</v>
      </c>
      <c r="AN163" s="74">
        <f>AL168-AL163</f>
        <v>-31576</v>
      </c>
      <c r="AO163" s="216"/>
      <c r="AP163" s="218">
        <f t="shared" si="155"/>
        <v>-31576</v>
      </c>
      <c r="AQ163" s="109">
        <f t="shared" si="175"/>
        <v>60</v>
      </c>
      <c r="AR163" s="109"/>
      <c r="AS163" s="270" t="s">
        <v>141</v>
      </c>
      <c r="AT163" s="158" t="s">
        <v>119</v>
      </c>
      <c r="AU163" s="252" t="s">
        <v>120</v>
      </c>
      <c r="AV163" s="253" t="s">
        <v>121</v>
      </c>
      <c r="AW163" s="259" t="s">
        <v>126</v>
      </c>
    </row>
    <row r="164" spans="1:49" customFormat="1" x14ac:dyDescent="0.25">
      <c r="A164" s="110"/>
      <c r="B164" s="110"/>
      <c r="D164" s="278" t="s">
        <v>117</v>
      </c>
      <c r="E164" s="279"/>
      <c r="F164" s="280"/>
      <c r="H164" s="222"/>
      <c r="J164" s="284"/>
      <c r="K164" s="222"/>
      <c r="L164" s="222"/>
      <c r="M164" s="255"/>
      <c r="N164" s="222"/>
      <c r="P164" s="284"/>
      <c r="Q164" s="222"/>
      <c r="R164" s="227"/>
      <c r="T164" s="236"/>
      <c r="U164" s="236"/>
      <c r="V164" s="150"/>
      <c r="W164" s="242"/>
      <c r="X164" s="242"/>
      <c r="AQ164" s="255"/>
      <c r="AR164" s="257" t="s">
        <v>125</v>
      </c>
      <c r="AS164" s="180"/>
      <c r="AT164" s="258">
        <v>100</v>
      </c>
      <c r="AU164" s="258">
        <v>97.722999999999999</v>
      </c>
      <c r="AV164" s="258"/>
      <c r="AW164" s="260">
        <f>SUM(AT164:AV164)</f>
        <v>197.72300000000001</v>
      </c>
    </row>
    <row r="165" spans="1:49" customFormat="1" ht="15.75" x14ac:dyDescent="0.25">
      <c r="A165" s="110"/>
      <c r="B165" s="110"/>
      <c r="D165" s="244" t="s">
        <v>118</v>
      </c>
      <c r="E165" s="245">
        <v>176797</v>
      </c>
      <c r="F165" s="246">
        <f>E165-CG_EN_2019</f>
        <v>2696</v>
      </c>
      <c r="H165" s="222"/>
      <c r="I165" s="28">
        <v>43839</v>
      </c>
      <c r="J165" s="284"/>
      <c r="K165" s="249">
        <v>48911</v>
      </c>
      <c r="L165" s="250">
        <f>K165-CG_J_2019</f>
        <v>201</v>
      </c>
      <c r="N165" s="222"/>
      <c r="O165" s="28">
        <v>43839</v>
      </c>
      <c r="P165" s="284"/>
      <c r="Q165" s="249">
        <v>54869</v>
      </c>
      <c r="R165" s="250">
        <f>Q165-CG_N_2019</f>
        <v>1259</v>
      </c>
      <c r="T165" s="236"/>
      <c r="U165" s="236"/>
      <c r="V165" s="150"/>
      <c r="W165" s="242"/>
      <c r="X165" s="242"/>
      <c r="AR165" s="257" t="s">
        <v>124</v>
      </c>
      <c r="AS165" s="180"/>
      <c r="AT165" s="258">
        <v>40</v>
      </c>
      <c r="AU165" s="258">
        <v>57.603999999999999</v>
      </c>
      <c r="AV165" s="258"/>
      <c r="AW165" s="260">
        <f t="shared" ref="AW165:AW178" si="176">SUM(AT165:AV165)</f>
        <v>97.603999999999999</v>
      </c>
    </row>
    <row r="166" spans="1:49" customFormat="1" x14ac:dyDescent="0.25">
      <c r="A166" s="110"/>
      <c r="B166" s="110"/>
      <c r="D166" s="281"/>
      <c r="E166" s="281"/>
      <c r="F166" s="281"/>
      <c r="H166" s="222"/>
      <c r="J166" s="284"/>
      <c r="K166" s="222"/>
      <c r="L166" s="222"/>
      <c r="N166" s="222"/>
      <c r="P166" s="284"/>
      <c r="Q166" s="222"/>
      <c r="R166" s="227"/>
      <c r="T166" s="236"/>
      <c r="U166" s="236"/>
      <c r="V166" s="150"/>
      <c r="W166" s="242"/>
      <c r="X166" s="242"/>
      <c r="AR166" s="257" t="s">
        <v>123</v>
      </c>
      <c r="AS166" s="183">
        <v>31500</v>
      </c>
      <c r="AT166" s="258"/>
      <c r="AU166" s="258">
        <v>39.054000000000002</v>
      </c>
      <c r="AV166" s="258">
        <v>19.763000000000002</v>
      </c>
      <c r="AW166" s="260">
        <f t="shared" si="176"/>
        <v>58.817000000000007</v>
      </c>
    </row>
    <row r="167" spans="1:49" x14ac:dyDescent="0.25">
      <c r="A167" s="110">
        <f>M167</f>
        <v>99</v>
      </c>
      <c r="B167" s="110">
        <f>E163-E162+S167</f>
        <v>3314</v>
      </c>
      <c r="C167" s="28">
        <v>43839</v>
      </c>
      <c r="D167" s="28"/>
      <c r="E167" s="247"/>
      <c r="F167" s="216"/>
      <c r="G167" s="216"/>
      <c r="H167" s="109">
        <f t="shared" ref="H167:H173" si="177">G151</f>
        <v>1888</v>
      </c>
      <c r="I167" s="28">
        <f t="shared" ref="I167" si="178">C167</f>
        <v>43839</v>
      </c>
      <c r="J167" s="284">
        <f>J168-M167-M162</f>
        <v>-166</v>
      </c>
      <c r="K167" s="86">
        <v>3</v>
      </c>
      <c r="L167" s="79">
        <f t="shared" ref="L167:L173" si="179">K167-CG2_JOUR+JOUR</f>
        <v>201</v>
      </c>
      <c r="M167" s="74">
        <f t="shared" ref="M167" si="180">K168-K167</f>
        <v>99</v>
      </c>
      <c r="N167" s="109">
        <f t="shared" ref="N167:N177" si="181">M151</f>
        <v>268</v>
      </c>
      <c r="O167" s="28">
        <f t="shared" ref="O167" si="182">C167</f>
        <v>43839</v>
      </c>
      <c r="P167" s="284">
        <f>P168-S167-S162</f>
        <v>-538</v>
      </c>
      <c r="Q167" s="86">
        <v>3</v>
      </c>
      <c r="R167" s="79">
        <f t="shared" ref="R167:R173" si="183">CG2_NUIT-CG2_NUIT+NUIT</f>
        <v>1259</v>
      </c>
      <c r="S167" s="74">
        <f t="shared" ref="S167" si="184">Q168-Q167</f>
        <v>1481</v>
      </c>
      <c r="T167" s="109">
        <f t="shared" ref="T167:T177" si="185">S151</f>
        <v>719</v>
      </c>
      <c r="U167" s="109">
        <f>AI151</f>
        <v>282</v>
      </c>
      <c r="V167" s="28">
        <f t="shared" ref="V167" si="186">O167</f>
        <v>43839</v>
      </c>
      <c r="W167" s="86">
        <v>16682</v>
      </c>
      <c r="X167" s="79">
        <f t="shared" ref="X167" si="187">W167-MCS_J_2019</f>
        <v>813</v>
      </c>
      <c r="Y167" s="74">
        <f t="shared" ref="Y167" si="188">W168-W167</f>
        <v>178</v>
      </c>
      <c r="Z167" s="109">
        <f t="shared" ref="Z167:Z173" si="189">Y151</f>
        <v>167</v>
      </c>
      <c r="AA167" s="28">
        <f t="shared" ref="AA167" si="190">V167</f>
        <v>43839</v>
      </c>
      <c r="AB167" s="85">
        <v>53184</v>
      </c>
      <c r="AC167" s="79">
        <f t="shared" ref="AC167" si="191">AB167-MCS_N_2019</f>
        <v>2214</v>
      </c>
      <c r="AD167" s="74">
        <f t="shared" ref="AD167" si="192">AB168-AB167</f>
        <v>1100</v>
      </c>
      <c r="AE167" s="109">
        <f t="shared" ref="AE167:AE173" si="193">AD151</f>
        <v>972</v>
      </c>
      <c r="AF167" s="28">
        <f t="shared" ref="AF167" si="194">O167</f>
        <v>43839</v>
      </c>
      <c r="AG167" s="85">
        <v>49528</v>
      </c>
      <c r="AH167" s="79">
        <f t="shared" ref="AH167" si="195">AG167-G_2019</f>
        <v>1616</v>
      </c>
      <c r="AI167" s="74">
        <f t="shared" ref="AI167" si="196">AG168-AG167</f>
        <v>636</v>
      </c>
      <c r="AJ167" s="109">
        <f t="shared" ref="AJ167:AJ173" si="197">AI151</f>
        <v>282</v>
      </c>
      <c r="AK167" s="28">
        <f t="shared" ref="AK167" si="198">O167</f>
        <v>43839</v>
      </c>
      <c r="AL167" s="85"/>
      <c r="AM167" s="79">
        <f t="shared" ref="AM167" si="199">AL167-PROD_2019</f>
        <v>-30583</v>
      </c>
      <c r="AN167" s="74">
        <f t="shared" ref="AN167" si="200">AL168-AL167</f>
        <v>0</v>
      </c>
      <c r="AO167" s="216"/>
      <c r="AP167" s="218">
        <f t="shared" ref="AP167" si="201">AN167+AO167</f>
        <v>0</v>
      </c>
      <c r="AQ167" s="109">
        <f t="shared" ref="AQ167:AQ173" si="202">AN151</f>
        <v>60</v>
      </c>
      <c r="AR167" s="256" t="s">
        <v>122</v>
      </c>
      <c r="AS167" s="261">
        <v>31550</v>
      </c>
      <c r="AT167" s="258">
        <f>AS167-AS166</f>
        <v>50</v>
      </c>
      <c r="AU167" s="258">
        <v>42.207999999999998</v>
      </c>
      <c r="AV167" s="258">
        <v>29.416</v>
      </c>
      <c r="AW167" s="260">
        <f t="shared" si="176"/>
        <v>121.624</v>
      </c>
    </row>
    <row r="168" spans="1:49" x14ac:dyDescent="0.25">
      <c r="A168" s="110">
        <f>M168</f>
        <v>445</v>
      </c>
      <c r="B168" s="110">
        <f>G168+S168</f>
        <v>1254</v>
      </c>
      <c r="C168" s="28">
        <v>43862</v>
      </c>
      <c r="D168" s="28"/>
      <c r="E168" s="247"/>
      <c r="F168" s="216"/>
      <c r="G168" s="216"/>
      <c r="H168" s="109">
        <f t="shared" si="177"/>
        <v>1486</v>
      </c>
      <c r="I168" s="28">
        <f t="shared" si="164"/>
        <v>43862</v>
      </c>
      <c r="J168" s="284">
        <f t="shared" si="154"/>
        <v>102</v>
      </c>
      <c r="K168" s="86">
        <v>102</v>
      </c>
      <c r="L168" s="79">
        <f t="shared" si="179"/>
        <v>300</v>
      </c>
      <c r="M168" s="74">
        <f t="shared" si="112"/>
        <v>445</v>
      </c>
      <c r="N168" s="109">
        <f t="shared" si="181"/>
        <v>-5</v>
      </c>
      <c r="O168" s="28">
        <f t="shared" si="166"/>
        <v>43862</v>
      </c>
      <c r="P168" s="284">
        <f t="shared" ref="P156:P172" si="203">P169-S168</f>
        <v>1484</v>
      </c>
      <c r="Q168" s="86">
        <v>1484</v>
      </c>
      <c r="R168" s="79">
        <f>CG2_NUIT-CG2_NUIT+NUIT</f>
        <v>1259</v>
      </c>
      <c r="S168" s="74">
        <f t="shared" si="114"/>
        <v>1254</v>
      </c>
      <c r="T168" s="109">
        <f t="shared" si="185"/>
        <v>558</v>
      </c>
      <c r="U168" s="109">
        <f t="shared" ref="U168:U177" si="204">AI152</f>
        <v>45</v>
      </c>
      <c r="V168" s="28">
        <f t="shared" si="168"/>
        <v>43862</v>
      </c>
      <c r="W168" s="86">
        <v>16860</v>
      </c>
      <c r="X168" s="79">
        <f t="shared" si="159"/>
        <v>991</v>
      </c>
      <c r="Y168" s="74">
        <f t="shared" si="116"/>
        <v>133</v>
      </c>
      <c r="Z168" s="109">
        <f t="shared" si="189"/>
        <v>62</v>
      </c>
      <c r="AA168" s="28">
        <f t="shared" si="170"/>
        <v>43862</v>
      </c>
      <c r="AB168" s="85">
        <v>54284</v>
      </c>
      <c r="AC168" s="79">
        <f t="shared" si="160"/>
        <v>3314</v>
      </c>
      <c r="AD168" s="74">
        <f t="shared" si="118"/>
        <v>981</v>
      </c>
      <c r="AE168" s="109">
        <f t="shared" si="193"/>
        <v>378</v>
      </c>
      <c r="AF168" s="28">
        <f t="shared" si="172"/>
        <v>43862</v>
      </c>
      <c r="AG168" s="85">
        <v>50164</v>
      </c>
      <c r="AH168" s="79">
        <f t="shared" si="161"/>
        <v>2252</v>
      </c>
      <c r="AI168" s="74">
        <f t="shared" si="120"/>
        <v>628</v>
      </c>
      <c r="AJ168" s="109">
        <f t="shared" si="197"/>
        <v>45</v>
      </c>
      <c r="AK168" s="28">
        <f t="shared" si="174"/>
        <v>43862</v>
      </c>
      <c r="AL168" s="85"/>
      <c r="AM168" s="79">
        <f t="shared" si="162"/>
        <v>-30583</v>
      </c>
      <c r="AN168" s="74">
        <f t="shared" si="122"/>
        <v>0</v>
      </c>
      <c r="AO168" s="216"/>
      <c r="AP168" s="218">
        <f t="shared" si="155"/>
        <v>0</v>
      </c>
      <c r="AQ168" s="109">
        <f t="shared" si="202"/>
        <v>214</v>
      </c>
      <c r="AR168" s="251" t="s">
        <v>127</v>
      </c>
      <c r="AS168" s="183">
        <v>31635</v>
      </c>
      <c r="AT168" s="258">
        <f>AS168-AS167</f>
        <v>85</v>
      </c>
      <c r="AU168" s="258">
        <v>97.405000000000001</v>
      </c>
      <c r="AV168" s="258"/>
      <c r="AW168" s="260">
        <f t="shared" si="176"/>
        <v>182.405</v>
      </c>
    </row>
    <row r="169" spans="1:49" x14ac:dyDescent="0.25">
      <c r="A169" s="110">
        <f>M169</f>
        <v>421</v>
      </c>
      <c r="B169" s="110">
        <f>G169+S169</f>
        <v>307</v>
      </c>
      <c r="C169" s="28">
        <v>43891</v>
      </c>
      <c r="D169" s="28"/>
      <c r="E169" s="247"/>
      <c r="F169" s="216"/>
      <c r="G169" s="216"/>
      <c r="H169" s="109">
        <f t="shared" si="177"/>
        <v>1084</v>
      </c>
      <c r="I169" s="28">
        <f t="shared" si="164"/>
        <v>43891</v>
      </c>
      <c r="J169" s="284">
        <f t="shared" si="154"/>
        <v>547</v>
      </c>
      <c r="K169" s="86">
        <v>547</v>
      </c>
      <c r="L169" s="79">
        <f t="shared" si="179"/>
        <v>745</v>
      </c>
      <c r="M169" s="74">
        <f t="shared" si="112"/>
        <v>421</v>
      </c>
      <c r="N169" s="109">
        <f t="shared" si="181"/>
        <v>-35</v>
      </c>
      <c r="O169" s="28">
        <f t="shared" si="166"/>
        <v>43891</v>
      </c>
      <c r="P169" s="284">
        <f t="shared" si="203"/>
        <v>2738</v>
      </c>
      <c r="Q169" s="86">
        <v>2738</v>
      </c>
      <c r="R169" s="79">
        <f t="shared" si="183"/>
        <v>1259</v>
      </c>
      <c r="S169" s="74">
        <f t="shared" si="114"/>
        <v>307</v>
      </c>
      <c r="T169" s="109">
        <f t="shared" si="185"/>
        <v>463</v>
      </c>
      <c r="U169" s="109">
        <f t="shared" si="204"/>
        <v>1</v>
      </c>
      <c r="V169" s="28">
        <f t="shared" si="168"/>
        <v>43891</v>
      </c>
      <c r="W169" s="86">
        <v>16993</v>
      </c>
      <c r="X169" s="79">
        <f t="shared" si="159"/>
        <v>1124</v>
      </c>
      <c r="Y169" s="74">
        <f t="shared" si="116"/>
        <v>155</v>
      </c>
      <c r="Z169" s="109">
        <f t="shared" si="189"/>
        <v>46</v>
      </c>
      <c r="AA169" s="28">
        <f t="shared" si="170"/>
        <v>43891</v>
      </c>
      <c r="AB169" s="85">
        <v>55265</v>
      </c>
      <c r="AC169" s="79">
        <f t="shared" si="160"/>
        <v>4295</v>
      </c>
      <c r="AD169" s="74">
        <f t="shared" si="118"/>
        <v>769</v>
      </c>
      <c r="AE169" s="109">
        <f t="shared" si="193"/>
        <v>402</v>
      </c>
      <c r="AF169" s="28">
        <f t="shared" si="172"/>
        <v>43891</v>
      </c>
      <c r="AG169" s="85">
        <v>50792</v>
      </c>
      <c r="AH169" s="79">
        <f t="shared" si="161"/>
        <v>2880</v>
      </c>
      <c r="AI169" s="74">
        <f t="shared" si="120"/>
        <v>550</v>
      </c>
      <c r="AJ169" s="109">
        <f t="shared" si="197"/>
        <v>1</v>
      </c>
      <c r="AK169" s="28">
        <f t="shared" si="174"/>
        <v>43891</v>
      </c>
      <c r="AL169" s="85"/>
      <c r="AM169" s="79">
        <f t="shared" si="162"/>
        <v>-30583</v>
      </c>
      <c r="AN169" s="74">
        <f t="shared" si="122"/>
        <v>0</v>
      </c>
      <c r="AO169" s="216"/>
      <c r="AP169" s="218">
        <f t="shared" si="155"/>
        <v>0</v>
      </c>
      <c r="AQ169" s="109">
        <f t="shared" si="202"/>
        <v>244</v>
      </c>
      <c r="AR169" s="251" t="s">
        <v>128</v>
      </c>
      <c r="AS169" s="183">
        <f>31635+464</f>
        <v>32099</v>
      </c>
      <c r="AT169" s="258">
        <f t="shared" ref="AT169:AT171" si="205">AS169-AS168</f>
        <v>464</v>
      </c>
      <c r="AU169" s="258">
        <v>255.15700000000001</v>
      </c>
      <c r="AV169" s="258"/>
      <c r="AW169" s="260">
        <f t="shared" si="176"/>
        <v>719.15700000000004</v>
      </c>
    </row>
    <row r="170" spans="1:49" x14ac:dyDescent="0.25">
      <c r="A170" s="110">
        <f>M170</f>
        <v>-465</v>
      </c>
      <c r="B170" s="110">
        <f>G170+S170</f>
        <v>-164</v>
      </c>
      <c r="C170" s="28">
        <v>43922</v>
      </c>
      <c r="D170" s="28"/>
      <c r="E170" s="247"/>
      <c r="F170" s="216"/>
      <c r="G170" s="216"/>
      <c r="H170" s="109">
        <f t="shared" si="177"/>
        <v>132</v>
      </c>
      <c r="I170" s="28">
        <f t="shared" si="164"/>
        <v>43922</v>
      </c>
      <c r="J170" s="284">
        <f t="shared" si="154"/>
        <v>968</v>
      </c>
      <c r="K170" s="86">
        <v>968</v>
      </c>
      <c r="L170" s="79">
        <f t="shared" si="179"/>
        <v>1166</v>
      </c>
      <c r="M170" s="74">
        <f t="shared" si="112"/>
        <v>-465</v>
      </c>
      <c r="N170" s="109">
        <f t="shared" si="181"/>
        <v>-107</v>
      </c>
      <c r="O170" s="28">
        <f t="shared" si="166"/>
        <v>43922</v>
      </c>
      <c r="P170" s="284">
        <f t="shared" si="203"/>
        <v>3045</v>
      </c>
      <c r="Q170" s="86">
        <v>3045</v>
      </c>
      <c r="R170" s="79">
        <f t="shared" si="183"/>
        <v>1259</v>
      </c>
      <c r="S170" s="74">
        <f t="shared" si="114"/>
        <v>-164</v>
      </c>
      <c r="T170" s="109">
        <f t="shared" si="185"/>
        <v>339</v>
      </c>
      <c r="U170" s="109">
        <f t="shared" si="204"/>
        <v>17</v>
      </c>
      <c r="V170" s="28">
        <f t="shared" si="168"/>
        <v>43922</v>
      </c>
      <c r="W170" s="86">
        <v>17148</v>
      </c>
      <c r="X170" s="79">
        <f t="shared" si="159"/>
        <v>1279</v>
      </c>
      <c r="Y170" s="74">
        <f t="shared" si="116"/>
        <v>138</v>
      </c>
      <c r="Z170" s="109">
        <f t="shared" si="189"/>
        <v>46</v>
      </c>
      <c r="AA170" s="28">
        <f t="shared" si="170"/>
        <v>43922</v>
      </c>
      <c r="AB170" s="85">
        <v>56034</v>
      </c>
      <c r="AC170" s="79">
        <f t="shared" si="160"/>
        <v>5064</v>
      </c>
      <c r="AD170" s="74">
        <f t="shared" si="118"/>
        <v>180</v>
      </c>
      <c r="AE170" s="109">
        <f t="shared" si="193"/>
        <v>225</v>
      </c>
      <c r="AF170" s="28">
        <f t="shared" si="172"/>
        <v>43922</v>
      </c>
      <c r="AG170" s="85">
        <v>51342</v>
      </c>
      <c r="AH170" s="79">
        <f t="shared" si="161"/>
        <v>3430</v>
      </c>
      <c r="AI170" s="74">
        <f t="shared" si="120"/>
        <v>202</v>
      </c>
      <c r="AJ170" s="109">
        <f t="shared" si="197"/>
        <v>17</v>
      </c>
      <c r="AK170" s="28">
        <f t="shared" si="174"/>
        <v>43922</v>
      </c>
      <c r="AL170" s="85"/>
      <c r="AM170" s="79">
        <f t="shared" si="162"/>
        <v>-30583</v>
      </c>
      <c r="AN170" s="74">
        <f t="shared" si="122"/>
        <v>0</v>
      </c>
      <c r="AO170" s="216"/>
      <c r="AP170" s="218">
        <f t="shared" si="155"/>
        <v>0</v>
      </c>
      <c r="AQ170" s="109">
        <f t="shared" si="202"/>
        <v>385</v>
      </c>
      <c r="AR170" s="251" t="s">
        <v>129</v>
      </c>
      <c r="AS170" s="183">
        <f>32099+500</f>
        <v>32599</v>
      </c>
      <c r="AT170" s="258">
        <f t="shared" si="205"/>
        <v>500</v>
      </c>
      <c r="AU170" s="258">
        <v>406.17399999999998</v>
      </c>
      <c r="AV170" s="258"/>
      <c r="AW170" s="260">
        <f t="shared" si="176"/>
        <v>906.17399999999998</v>
      </c>
    </row>
    <row r="171" spans="1:49" ht="15.75" thickBot="1" x14ac:dyDescent="0.3">
      <c r="A171" s="110">
        <f>M171</f>
        <v>-574</v>
      </c>
      <c r="B171" s="110">
        <f>G171+S171</f>
        <v>-144</v>
      </c>
      <c r="C171" s="28">
        <v>43952</v>
      </c>
      <c r="D171" s="28"/>
      <c r="E171" s="247"/>
      <c r="F171" s="216"/>
      <c r="G171" s="216"/>
      <c r="H171" s="109">
        <f t="shared" si="177"/>
        <v>27</v>
      </c>
      <c r="I171" s="28">
        <f t="shared" si="164"/>
        <v>43952</v>
      </c>
      <c r="J171" s="284">
        <f t="shared" si="154"/>
        <v>503</v>
      </c>
      <c r="K171" s="86">
        <v>503</v>
      </c>
      <c r="L171" s="79">
        <f t="shared" si="179"/>
        <v>701</v>
      </c>
      <c r="M171" s="74">
        <f t="shared" si="112"/>
        <v>-574</v>
      </c>
      <c r="N171" s="109">
        <f t="shared" si="181"/>
        <v>-182</v>
      </c>
      <c r="O171" s="28">
        <f t="shared" si="166"/>
        <v>43952</v>
      </c>
      <c r="P171" s="284">
        <f t="shared" si="203"/>
        <v>2881</v>
      </c>
      <c r="Q171" s="86">
        <v>2881</v>
      </c>
      <c r="R171" s="79">
        <f t="shared" si="183"/>
        <v>1259</v>
      </c>
      <c r="S171" s="74">
        <f t="shared" si="114"/>
        <v>-144</v>
      </c>
      <c r="T171" s="109">
        <f t="shared" si="185"/>
        <v>211</v>
      </c>
      <c r="U171" s="109">
        <f t="shared" si="204"/>
        <v>32</v>
      </c>
      <c r="V171" s="28">
        <f t="shared" si="168"/>
        <v>43952</v>
      </c>
      <c r="W171" s="86">
        <v>17286</v>
      </c>
      <c r="X171" s="79">
        <f t="shared" si="159"/>
        <v>1417</v>
      </c>
      <c r="Y171" s="74">
        <f t="shared" si="116"/>
        <v>104</v>
      </c>
      <c r="Z171" s="109">
        <f t="shared" si="189"/>
        <v>51</v>
      </c>
      <c r="AA171" s="28">
        <f t="shared" si="170"/>
        <v>43952</v>
      </c>
      <c r="AB171" s="85">
        <v>56214</v>
      </c>
      <c r="AC171" s="79">
        <f t="shared" si="160"/>
        <v>5244</v>
      </c>
      <c r="AD171" s="74">
        <f t="shared" si="118"/>
        <v>94</v>
      </c>
      <c r="AE171" s="109">
        <f t="shared" si="193"/>
        <v>232</v>
      </c>
      <c r="AF171" s="28">
        <f t="shared" si="172"/>
        <v>43952</v>
      </c>
      <c r="AG171" s="85">
        <v>51544</v>
      </c>
      <c r="AH171" s="79">
        <f t="shared" si="161"/>
        <v>3632</v>
      </c>
      <c r="AI171" s="74">
        <f t="shared" si="120"/>
        <v>184</v>
      </c>
      <c r="AJ171" s="109">
        <f t="shared" si="197"/>
        <v>32</v>
      </c>
      <c r="AK171" s="28">
        <f t="shared" si="174"/>
        <v>43952</v>
      </c>
      <c r="AL171" s="85"/>
      <c r="AM171" s="79">
        <f t="shared" si="162"/>
        <v>-30583</v>
      </c>
      <c r="AN171" s="74">
        <f t="shared" si="122"/>
        <v>0</v>
      </c>
      <c r="AO171" s="216"/>
      <c r="AP171" s="218">
        <f t="shared" si="155"/>
        <v>0</v>
      </c>
      <c r="AQ171" s="109">
        <f t="shared" si="202"/>
        <v>488</v>
      </c>
      <c r="AR171" s="251" t="s">
        <v>130</v>
      </c>
      <c r="AS171" s="183">
        <v>33099</v>
      </c>
      <c r="AT171" s="258">
        <f t="shared" si="205"/>
        <v>500</v>
      </c>
      <c r="AU171" s="258">
        <v>452.096</v>
      </c>
      <c r="AV171" s="258"/>
      <c r="AW171" s="260">
        <f>SUM(AU171:AV171)</f>
        <v>452.096</v>
      </c>
    </row>
    <row r="172" spans="1:49" ht="15.75" thickBot="1" x14ac:dyDescent="0.3">
      <c r="A172" s="110">
        <f>M172</f>
        <v>-308</v>
      </c>
      <c r="B172" s="110">
        <f>G172+S172</f>
        <v>-25</v>
      </c>
      <c r="C172" s="28">
        <v>43983</v>
      </c>
      <c r="D172" s="28"/>
      <c r="E172" s="247"/>
      <c r="F172" s="216"/>
      <c r="G172" s="216"/>
      <c r="H172" s="109">
        <f t="shared" si="177"/>
        <v>0</v>
      </c>
      <c r="I172" s="28">
        <f t="shared" si="164"/>
        <v>43983</v>
      </c>
      <c r="J172" s="284">
        <f t="shared" si="154"/>
        <v>-71</v>
      </c>
      <c r="K172" s="86">
        <v>-71</v>
      </c>
      <c r="L172" s="79">
        <f t="shared" si="179"/>
        <v>127</v>
      </c>
      <c r="M172" s="74">
        <f t="shared" si="112"/>
        <v>-308</v>
      </c>
      <c r="N172" s="109">
        <f t="shared" si="181"/>
        <v>-188</v>
      </c>
      <c r="O172" s="28">
        <f t="shared" si="166"/>
        <v>43983</v>
      </c>
      <c r="P172" s="284">
        <f t="shared" si="203"/>
        <v>2737</v>
      </c>
      <c r="Q172" s="86">
        <v>2737</v>
      </c>
      <c r="R172" s="79">
        <f t="shared" si="183"/>
        <v>1259</v>
      </c>
      <c r="S172" s="74">
        <f t="shared" si="114"/>
        <v>-25</v>
      </c>
      <c r="T172" s="109">
        <f t="shared" si="185"/>
        <v>121</v>
      </c>
      <c r="U172" s="109">
        <f t="shared" si="204"/>
        <v>49</v>
      </c>
      <c r="V172" s="28">
        <f t="shared" si="168"/>
        <v>43983</v>
      </c>
      <c r="W172" s="262">
        <v>17390</v>
      </c>
      <c r="X172" s="263">
        <f t="shared" si="159"/>
        <v>1521</v>
      </c>
      <c r="Y172" s="74"/>
      <c r="Z172" s="109">
        <f t="shared" si="189"/>
        <v>63</v>
      </c>
      <c r="AA172" s="28">
        <f t="shared" si="170"/>
        <v>43983</v>
      </c>
      <c r="AB172" s="265">
        <v>56308</v>
      </c>
      <c r="AC172" s="263">
        <f t="shared" si="160"/>
        <v>5338</v>
      </c>
      <c r="AD172" s="74"/>
      <c r="AE172" s="109">
        <f t="shared" si="193"/>
        <v>147</v>
      </c>
      <c r="AF172" s="28">
        <f t="shared" si="172"/>
        <v>43983</v>
      </c>
      <c r="AG172" s="85">
        <v>51728</v>
      </c>
      <c r="AH172" s="79">
        <f t="shared" si="161"/>
        <v>3816</v>
      </c>
      <c r="AI172" s="74">
        <f t="shared" si="120"/>
        <v>142</v>
      </c>
      <c r="AJ172" s="109">
        <f t="shared" si="197"/>
        <v>49</v>
      </c>
      <c r="AK172" s="28">
        <f t="shared" si="174"/>
        <v>43983</v>
      </c>
      <c r="AL172" s="85"/>
      <c r="AM172" s="79">
        <f t="shared" si="162"/>
        <v>-30583</v>
      </c>
      <c r="AN172" s="74">
        <f t="shared" si="122"/>
        <v>0</v>
      </c>
      <c r="AO172" s="216"/>
      <c r="AP172" s="218">
        <f t="shared" si="155"/>
        <v>0</v>
      </c>
      <c r="AQ172" s="109">
        <f t="shared" si="202"/>
        <v>439</v>
      </c>
      <c r="AR172" s="251" t="s">
        <v>131</v>
      </c>
      <c r="AS172" s="183">
        <v>33534</v>
      </c>
      <c r="AT172" s="258">
        <f>AS172-AS171</f>
        <v>435</v>
      </c>
      <c r="AU172" s="258">
        <v>357.012</v>
      </c>
      <c r="AV172" s="258">
        <v>239.15600000000001</v>
      </c>
      <c r="AW172" s="260">
        <f>SUM(AT172:AV172)</f>
        <v>1031.1679999999999</v>
      </c>
    </row>
    <row r="173" spans="1:49" x14ac:dyDescent="0.25">
      <c r="A173" s="110">
        <f>M173</f>
        <v>-370</v>
      </c>
      <c r="B173" s="110">
        <f>G173+S173</f>
        <v>-31</v>
      </c>
      <c r="C173" s="28">
        <v>44013</v>
      </c>
      <c r="D173" s="28"/>
      <c r="E173" s="247"/>
      <c r="F173" s="216"/>
      <c r="G173" s="216"/>
      <c r="H173" s="109">
        <f t="shared" si="177"/>
        <v>0</v>
      </c>
      <c r="I173" s="28">
        <f t="shared" si="164"/>
        <v>44013</v>
      </c>
      <c r="J173" s="284">
        <f>J174-M173</f>
        <v>-379</v>
      </c>
      <c r="K173" s="86">
        <v>-379</v>
      </c>
      <c r="L173" s="79">
        <f t="shared" si="179"/>
        <v>-181</v>
      </c>
      <c r="M173" s="74">
        <f t="shared" si="112"/>
        <v>-370</v>
      </c>
      <c r="N173" s="109">
        <f t="shared" si="181"/>
        <v>-296</v>
      </c>
      <c r="O173" s="28">
        <f t="shared" si="166"/>
        <v>44013</v>
      </c>
      <c r="P173" s="284">
        <f>P174-S173</f>
        <v>2712</v>
      </c>
      <c r="Q173" s="86">
        <v>2712</v>
      </c>
      <c r="R173" s="79">
        <f t="shared" si="183"/>
        <v>1259</v>
      </c>
      <c r="S173" s="74">
        <f t="shared" si="114"/>
        <v>-31</v>
      </c>
      <c r="T173" s="109">
        <f t="shared" si="185"/>
        <v>61</v>
      </c>
      <c r="U173" s="109">
        <f t="shared" si="204"/>
        <v>178</v>
      </c>
      <c r="V173" s="28">
        <f t="shared" si="168"/>
        <v>44013</v>
      </c>
      <c r="W173" s="264" t="s">
        <v>138</v>
      </c>
      <c r="X173" s="79"/>
      <c r="Y173" s="74"/>
      <c r="Z173" s="109">
        <f t="shared" si="189"/>
        <v>101</v>
      </c>
      <c r="AA173" s="28">
        <f t="shared" si="170"/>
        <v>44013</v>
      </c>
      <c r="AB173" s="264" t="s">
        <v>138</v>
      </c>
      <c r="AC173" s="79"/>
      <c r="AD173" s="74"/>
      <c r="AE173" s="109">
        <f t="shared" si="193"/>
        <v>86</v>
      </c>
      <c r="AF173" s="28">
        <f t="shared" si="172"/>
        <v>44013</v>
      </c>
      <c r="AG173" s="85">
        <v>51870</v>
      </c>
      <c r="AH173" s="79">
        <f t="shared" si="161"/>
        <v>3958</v>
      </c>
      <c r="AI173" s="74">
        <f t="shared" si="120"/>
        <v>142</v>
      </c>
      <c r="AJ173" s="109">
        <f t="shared" si="197"/>
        <v>178</v>
      </c>
      <c r="AK173" s="28">
        <f t="shared" si="174"/>
        <v>44013</v>
      </c>
      <c r="AL173" s="85"/>
      <c r="AM173" s="79">
        <f t="shared" si="162"/>
        <v>-30583</v>
      </c>
      <c r="AN173" s="74">
        <f t="shared" si="122"/>
        <v>0</v>
      </c>
      <c r="AO173" s="216"/>
      <c r="AP173" s="218">
        <f t="shared" si="155"/>
        <v>0</v>
      </c>
      <c r="AQ173" s="109">
        <f t="shared" si="202"/>
        <v>413</v>
      </c>
      <c r="AR173" s="251" t="s">
        <v>132</v>
      </c>
      <c r="AS173" s="271">
        <v>33981</v>
      </c>
      <c r="AT173" s="258">
        <f>AS173-AS172</f>
        <v>447</v>
      </c>
      <c r="AU173" s="269">
        <v>362.339</v>
      </c>
      <c r="AV173" s="269">
        <v>276.67500000000001</v>
      </c>
      <c r="AW173" s="260">
        <f t="shared" si="176"/>
        <v>1086.0139999999999</v>
      </c>
    </row>
    <row r="174" spans="1:49" x14ac:dyDescent="0.25">
      <c r="A174" s="110">
        <f>M174</f>
        <v>-357</v>
      </c>
      <c r="B174" s="110">
        <f>G174+S174</f>
        <v>7</v>
      </c>
      <c r="C174" s="28">
        <v>44044</v>
      </c>
      <c r="D174" s="282" t="s">
        <v>88</v>
      </c>
      <c r="E174" s="283"/>
      <c r="F174" s="216"/>
      <c r="G174" s="216"/>
      <c r="H174" s="248"/>
      <c r="I174" s="28">
        <f t="shared" si="164"/>
        <v>44044</v>
      </c>
      <c r="J174" s="284">
        <v>-749</v>
      </c>
      <c r="K174" s="272">
        <v>-749</v>
      </c>
      <c r="L174" s="79">
        <v>0</v>
      </c>
      <c r="M174" s="74">
        <f t="shared" si="112"/>
        <v>-357</v>
      </c>
      <c r="N174" s="109">
        <f t="shared" si="181"/>
        <v>-559</v>
      </c>
      <c r="O174" s="28">
        <f t="shared" si="166"/>
        <v>44044</v>
      </c>
      <c r="P174" s="284">
        <v>2681</v>
      </c>
      <c r="Q174" s="272">
        <v>2681</v>
      </c>
      <c r="R174" s="79">
        <v>0</v>
      </c>
      <c r="S174" s="74">
        <f t="shared" si="114"/>
        <v>7</v>
      </c>
      <c r="T174" s="109">
        <f t="shared" si="185"/>
        <v>45</v>
      </c>
      <c r="U174" s="109">
        <f t="shared" si="204"/>
        <v>177</v>
      </c>
      <c r="V174" s="28">
        <f t="shared" si="168"/>
        <v>44044</v>
      </c>
      <c r="W174" s="86"/>
      <c r="X174" s="79"/>
      <c r="Y174" s="74"/>
      <c r="Z174" s="109"/>
      <c r="AA174" s="28">
        <f t="shared" si="170"/>
        <v>44044</v>
      </c>
      <c r="AB174" s="85"/>
      <c r="AC174" s="79"/>
      <c r="AD174" s="74"/>
      <c r="AE174" s="109"/>
      <c r="AF174" s="28">
        <f t="shared" si="172"/>
        <v>44044</v>
      </c>
      <c r="AG174" s="85">
        <v>52012</v>
      </c>
      <c r="AH174" s="79">
        <f t="shared" si="161"/>
        <v>4100</v>
      </c>
      <c r="AI174" s="74">
        <f t="shared" si="120"/>
        <v>131</v>
      </c>
      <c r="AJ174" s="109"/>
      <c r="AK174" s="28">
        <f t="shared" si="174"/>
        <v>44044</v>
      </c>
      <c r="AL174" s="85"/>
      <c r="AM174" s="79">
        <f t="shared" si="162"/>
        <v>-30583</v>
      </c>
      <c r="AN174" s="74">
        <f t="shared" si="122"/>
        <v>0</v>
      </c>
      <c r="AO174" s="216"/>
      <c r="AP174" s="216"/>
      <c r="AQ174" s="109"/>
      <c r="AR174" s="251" t="s">
        <v>133</v>
      </c>
      <c r="AS174" s="183">
        <v>34388</v>
      </c>
      <c r="AT174" s="258">
        <f>AS174-AS173</f>
        <v>407</v>
      </c>
      <c r="AU174" s="258"/>
      <c r="AV174" s="258"/>
      <c r="AW174" s="260">
        <f t="shared" si="176"/>
        <v>407</v>
      </c>
    </row>
    <row r="175" spans="1:49" x14ac:dyDescent="0.25">
      <c r="A175" s="110">
        <f>M175</f>
        <v>-224</v>
      </c>
      <c r="B175" s="110">
        <f>G175+S175</f>
        <v>32</v>
      </c>
      <c r="C175" s="28">
        <v>44075</v>
      </c>
      <c r="D175" s="28"/>
      <c r="E175" s="247"/>
      <c r="F175" s="216"/>
      <c r="G175" s="216"/>
      <c r="H175" s="220"/>
      <c r="I175" s="28">
        <f t="shared" si="164"/>
        <v>44075</v>
      </c>
      <c r="J175" s="284"/>
      <c r="K175" s="86">
        <v>-1106</v>
      </c>
      <c r="L175" s="79">
        <f t="shared" ref="L175:L184" si="206">IF(K175 &lt;&gt; 0,K175-JOUR_2020,"")</f>
        <v>-357</v>
      </c>
      <c r="M175" s="74">
        <f t="shared" si="112"/>
        <v>-224</v>
      </c>
      <c r="N175" s="109">
        <f t="shared" si="181"/>
        <v>-97</v>
      </c>
      <c r="O175" s="28">
        <f t="shared" si="166"/>
        <v>44075</v>
      </c>
      <c r="P175" s="284"/>
      <c r="Q175" s="86">
        <v>2688</v>
      </c>
      <c r="R175" s="79">
        <f t="shared" ref="R175:R184" si="207">IF(Q175 &lt;&gt; 0,Q175-NUIT_2020,"")</f>
        <v>7</v>
      </c>
      <c r="S175" s="74">
        <f t="shared" si="114"/>
        <v>32</v>
      </c>
      <c r="T175" s="109">
        <f t="shared" si="185"/>
        <v>1</v>
      </c>
      <c r="U175" s="109">
        <f t="shared" si="204"/>
        <v>188</v>
      </c>
      <c r="V175" s="28">
        <f t="shared" si="168"/>
        <v>44075</v>
      </c>
      <c r="W175" s="86"/>
      <c r="X175" s="79"/>
      <c r="Y175" s="74"/>
      <c r="Z175" s="109"/>
      <c r="AA175" s="28">
        <f t="shared" si="170"/>
        <v>44075</v>
      </c>
      <c r="AB175" s="85"/>
      <c r="AC175" s="79"/>
      <c r="AD175" s="74"/>
      <c r="AE175" s="109"/>
      <c r="AF175" s="28">
        <f t="shared" si="172"/>
        <v>44075</v>
      </c>
      <c r="AG175" s="85">
        <v>52143</v>
      </c>
      <c r="AH175" s="79">
        <f t="shared" si="161"/>
        <v>4231</v>
      </c>
      <c r="AI175" s="74">
        <f t="shared" si="120"/>
        <v>-52143</v>
      </c>
      <c r="AJ175" s="109"/>
      <c r="AK175" s="28">
        <f t="shared" si="174"/>
        <v>44075</v>
      </c>
      <c r="AL175" s="85"/>
      <c r="AM175" s="79">
        <f t="shared" si="162"/>
        <v>-30583</v>
      </c>
      <c r="AN175" s="74">
        <f t="shared" si="122"/>
        <v>0</v>
      </c>
      <c r="AO175" s="216"/>
      <c r="AP175" s="216"/>
      <c r="AQ175" s="109"/>
      <c r="AR175" s="251" t="s">
        <v>134</v>
      </c>
      <c r="AS175" s="183">
        <f>AS174+262</f>
        <v>34650</v>
      </c>
      <c r="AT175" s="258">
        <f t="shared" ref="AT175:AT178" si="208">AS175-AS174</f>
        <v>262</v>
      </c>
      <c r="AU175" s="258"/>
      <c r="AV175" s="258"/>
      <c r="AW175" s="260">
        <f t="shared" si="176"/>
        <v>262</v>
      </c>
    </row>
    <row r="176" spans="1:49" x14ac:dyDescent="0.25">
      <c r="A176" s="110">
        <f>M176</f>
        <v>265</v>
      </c>
      <c r="B176" s="110">
        <f>G176+S176</f>
        <v>232</v>
      </c>
      <c r="C176" s="28">
        <v>44105</v>
      </c>
      <c r="D176" s="28"/>
      <c r="E176" s="247"/>
      <c r="F176" s="216"/>
      <c r="G176" s="216"/>
      <c r="H176" s="220"/>
      <c r="I176" s="28">
        <f t="shared" si="164"/>
        <v>44105</v>
      </c>
      <c r="J176" s="284"/>
      <c r="K176" s="86">
        <f>8670-10000</f>
        <v>-1330</v>
      </c>
      <c r="L176" s="79">
        <f t="shared" si="206"/>
        <v>-581</v>
      </c>
      <c r="M176" s="74">
        <f t="shared" si="112"/>
        <v>265</v>
      </c>
      <c r="N176" s="109">
        <f t="shared" si="181"/>
        <v>312</v>
      </c>
      <c r="O176" s="28">
        <f t="shared" si="166"/>
        <v>44105</v>
      </c>
      <c r="P176" s="284"/>
      <c r="Q176" s="86">
        <v>2720</v>
      </c>
      <c r="R176" s="79">
        <f t="shared" si="207"/>
        <v>39</v>
      </c>
      <c r="S176" s="74">
        <f t="shared" si="114"/>
        <v>232</v>
      </c>
      <c r="T176" s="109">
        <f t="shared" si="185"/>
        <v>153</v>
      </c>
      <c r="U176" s="109">
        <f t="shared" si="204"/>
        <v>208</v>
      </c>
      <c r="V176" s="28">
        <f t="shared" si="168"/>
        <v>44105</v>
      </c>
      <c r="W176" s="86"/>
      <c r="X176" s="79"/>
      <c r="Y176" s="74"/>
      <c r="Z176" s="109"/>
      <c r="AA176" s="28">
        <f t="shared" si="170"/>
        <v>44105</v>
      </c>
      <c r="AB176" s="85"/>
      <c r="AC176" s="79"/>
      <c r="AD176" s="74"/>
      <c r="AE176" s="109"/>
      <c r="AF176" s="28">
        <f t="shared" si="172"/>
        <v>44105</v>
      </c>
      <c r="AG176" s="85"/>
      <c r="AH176" s="79">
        <f t="shared" si="161"/>
        <v>-47912</v>
      </c>
      <c r="AI176" s="74">
        <f t="shared" si="120"/>
        <v>0</v>
      </c>
      <c r="AJ176" s="109"/>
      <c r="AK176" s="28">
        <f t="shared" si="174"/>
        <v>44105</v>
      </c>
      <c r="AL176" s="85"/>
      <c r="AM176" s="79">
        <f t="shared" si="162"/>
        <v>-30583</v>
      </c>
      <c r="AN176" s="74">
        <f t="shared" si="122"/>
        <v>0</v>
      </c>
      <c r="AO176" s="216"/>
      <c r="AP176" s="216"/>
      <c r="AQ176" s="109"/>
      <c r="AR176" s="251" t="s">
        <v>135</v>
      </c>
      <c r="AS176" s="183">
        <f>AS175+175</f>
        <v>34825</v>
      </c>
      <c r="AT176" s="258">
        <f t="shared" si="208"/>
        <v>175</v>
      </c>
      <c r="AU176" s="258"/>
      <c r="AV176" s="258"/>
      <c r="AW176" s="260">
        <f t="shared" si="176"/>
        <v>175</v>
      </c>
    </row>
    <row r="177" spans="1:49" x14ac:dyDescent="0.25">
      <c r="A177" s="110">
        <f>M177</f>
        <v>464</v>
      </c>
      <c r="B177" s="110">
        <f>G177+S177</f>
        <v>480</v>
      </c>
      <c r="C177" s="28">
        <v>44136</v>
      </c>
      <c r="D177" s="28"/>
      <c r="E177" s="247"/>
      <c r="F177" s="216"/>
      <c r="G177" s="216"/>
      <c r="H177" s="220"/>
      <c r="I177" s="28">
        <f t="shared" si="164"/>
        <v>44136</v>
      </c>
      <c r="J177" s="284"/>
      <c r="K177" s="86">
        <f>8935-10000</f>
        <v>-1065</v>
      </c>
      <c r="L177" s="79">
        <f t="shared" si="206"/>
        <v>-316</v>
      </c>
      <c r="M177" s="74">
        <f t="shared" si="112"/>
        <v>464</v>
      </c>
      <c r="N177" s="109">
        <f t="shared" si="181"/>
        <v>320</v>
      </c>
      <c r="O177" s="28">
        <f t="shared" si="166"/>
        <v>44136</v>
      </c>
      <c r="P177" s="284"/>
      <c r="Q177" s="86">
        <v>2952</v>
      </c>
      <c r="R177" s="79">
        <f t="shared" si="207"/>
        <v>271</v>
      </c>
      <c r="S177" s="74">
        <f t="shared" si="114"/>
        <v>480</v>
      </c>
      <c r="T177" s="109">
        <f t="shared" si="185"/>
        <v>354</v>
      </c>
      <c r="U177" s="109">
        <f t="shared" si="204"/>
        <v>494</v>
      </c>
      <c r="V177" s="28">
        <f t="shared" si="168"/>
        <v>44136</v>
      </c>
      <c r="W177" s="86"/>
      <c r="X177" s="79"/>
      <c r="Y177" s="74"/>
      <c r="Z177" s="109"/>
      <c r="AA177" s="28">
        <f t="shared" si="170"/>
        <v>44136</v>
      </c>
      <c r="AB177" s="85"/>
      <c r="AC177" s="79"/>
      <c r="AD177" s="74"/>
      <c r="AE177" s="109"/>
      <c r="AF177" s="28">
        <f t="shared" si="172"/>
        <v>44136</v>
      </c>
      <c r="AG177" s="85"/>
      <c r="AH177" s="79">
        <f t="shared" si="161"/>
        <v>-47912</v>
      </c>
      <c r="AI177" s="74">
        <f t="shared" si="120"/>
        <v>0</v>
      </c>
      <c r="AJ177" s="109"/>
      <c r="AK177" s="28">
        <f t="shared" si="174"/>
        <v>44136</v>
      </c>
      <c r="AL177" s="85"/>
      <c r="AM177" s="79">
        <f t="shared" si="162"/>
        <v>-30583</v>
      </c>
      <c r="AN177" s="74">
        <f t="shared" si="122"/>
        <v>0</v>
      </c>
      <c r="AO177" s="216"/>
      <c r="AP177" s="216"/>
      <c r="AQ177" s="109"/>
      <c r="AR177" s="251" t="s">
        <v>136</v>
      </c>
      <c r="AS177" s="183">
        <v>35000</v>
      </c>
      <c r="AT177" s="258">
        <f t="shared" si="208"/>
        <v>175</v>
      </c>
      <c r="AU177" s="258"/>
      <c r="AV177" s="258"/>
      <c r="AW177" s="260">
        <f t="shared" si="176"/>
        <v>175</v>
      </c>
    </row>
    <row r="178" spans="1:49" x14ac:dyDescent="0.25">
      <c r="A178" s="110"/>
      <c r="B178" s="110"/>
      <c r="C178" s="28">
        <v>44166</v>
      </c>
      <c r="D178" s="28"/>
      <c r="E178" s="247"/>
      <c r="F178" s="216"/>
      <c r="G178" s="216"/>
      <c r="H178" s="273">
        <v>44146</v>
      </c>
      <c r="I178" s="28">
        <f t="shared" si="164"/>
        <v>44166</v>
      </c>
      <c r="J178" s="284"/>
      <c r="K178" s="86">
        <f>9399-10000</f>
        <v>-601</v>
      </c>
      <c r="L178" s="79">
        <f t="shared" si="206"/>
        <v>148</v>
      </c>
      <c r="M178" s="74">
        <f t="shared" si="112"/>
        <v>601</v>
      </c>
      <c r="N178" s="109"/>
      <c r="O178" s="28">
        <f t="shared" si="166"/>
        <v>44166</v>
      </c>
      <c r="P178" s="284"/>
      <c r="Q178" s="86">
        <v>3432</v>
      </c>
      <c r="R178" s="79">
        <f t="shared" si="207"/>
        <v>751</v>
      </c>
      <c r="S178" s="74">
        <f t="shared" si="114"/>
        <v>-3432</v>
      </c>
      <c r="T178" s="109"/>
      <c r="U178" s="109"/>
      <c r="V178" s="28">
        <f t="shared" si="168"/>
        <v>44166</v>
      </c>
      <c r="W178" s="86"/>
      <c r="X178" s="79"/>
      <c r="Y178" s="74"/>
      <c r="Z178" s="109"/>
      <c r="AA178" s="28">
        <f t="shared" si="170"/>
        <v>44166</v>
      </c>
      <c r="AB178" s="85"/>
      <c r="AC178" s="79"/>
      <c r="AD178" s="74"/>
      <c r="AE178" s="109"/>
      <c r="AF178" s="28">
        <f t="shared" si="172"/>
        <v>44166</v>
      </c>
      <c r="AG178" s="85"/>
      <c r="AH178" s="79">
        <f t="shared" si="161"/>
        <v>-47912</v>
      </c>
      <c r="AI178" s="74">
        <f t="shared" si="120"/>
        <v>0</v>
      </c>
      <c r="AJ178" s="109"/>
      <c r="AK178" s="28">
        <f t="shared" si="174"/>
        <v>44166</v>
      </c>
      <c r="AL178" s="85"/>
      <c r="AM178" s="79">
        <f t="shared" si="162"/>
        <v>-30583</v>
      </c>
      <c r="AN178" s="74">
        <f t="shared" si="122"/>
        <v>0</v>
      </c>
      <c r="AO178" s="216"/>
      <c r="AP178" s="216"/>
      <c r="AQ178" s="109"/>
      <c r="AR178" s="251" t="s">
        <v>137</v>
      </c>
      <c r="AS178" s="183">
        <v>35000</v>
      </c>
      <c r="AT178" s="258">
        <f t="shared" si="208"/>
        <v>0</v>
      </c>
      <c r="AU178" s="258"/>
      <c r="AV178" s="258"/>
      <c r="AW178" s="260">
        <f t="shared" si="176"/>
        <v>0</v>
      </c>
    </row>
    <row r="179" spans="1:49" x14ac:dyDescent="0.25">
      <c r="C179" s="28">
        <v>44197</v>
      </c>
      <c r="D179" s="28"/>
      <c r="E179" s="247"/>
      <c r="F179" s="216"/>
      <c r="G179" s="216"/>
      <c r="H179" s="273"/>
      <c r="I179" s="28">
        <f t="shared" si="164"/>
        <v>44197</v>
      </c>
      <c r="J179" s="284"/>
      <c r="K179" s="86"/>
      <c r="L179" s="79" t="str">
        <f t="shared" si="206"/>
        <v/>
      </c>
      <c r="M179" s="74">
        <f t="shared" si="112"/>
        <v>0</v>
      </c>
      <c r="N179" s="109"/>
      <c r="O179" s="28">
        <f t="shared" si="166"/>
        <v>44197</v>
      </c>
      <c r="P179" s="284"/>
      <c r="Q179" s="86"/>
      <c r="R179" s="79" t="str">
        <f t="shared" si="207"/>
        <v/>
      </c>
      <c r="S179" s="74">
        <f t="shared" si="114"/>
        <v>0</v>
      </c>
      <c r="T179" s="109"/>
      <c r="U179" s="109"/>
      <c r="V179" s="28">
        <f t="shared" si="168"/>
        <v>44197</v>
      </c>
      <c r="W179" s="86"/>
      <c r="X179" s="79"/>
      <c r="Y179" s="74"/>
      <c r="Z179" s="109"/>
      <c r="AA179" s="28">
        <f t="shared" si="170"/>
        <v>44197</v>
      </c>
      <c r="AB179" s="85"/>
      <c r="AC179" s="79"/>
      <c r="AD179" s="74"/>
      <c r="AE179" s="109"/>
      <c r="AF179" s="28">
        <f t="shared" si="172"/>
        <v>44197</v>
      </c>
      <c r="AG179" s="85"/>
      <c r="AH179" s="79">
        <f t="shared" si="161"/>
        <v>-47912</v>
      </c>
      <c r="AI179" s="74">
        <f t="shared" si="120"/>
        <v>0</v>
      </c>
      <c r="AJ179" s="109"/>
      <c r="AK179" s="28">
        <f t="shared" si="174"/>
        <v>44197</v>
      </c>
      <c r="AL179" s="85"/>
      <c r="AM179" s="79">
        <f t="shared" si="162"/>
        <v>-30583</v>
      </c>
      <c r="AN179" s="74">
        <f t="shared" si="122"/>
        <v>0</v>
      </c>
      <c r="AO179" s="216"/>
      <c r="AP179" s="216"/>
      <c r="AQ179" s="109"/>
      <c r="AR179" s="251"/>
      <c r="AS179" s="155"/>
      <c r="AT179" s="258">
        <f>SUM(AT164:AT178)</f>
        <v>3640</v>
      </c>
      <c r="AU179" s="258">
        <f t="shared" ref="AU179:AW179" si="209">SUM(AU164:AU178)</f>
        <v>2166.7719999999999</v>
      </c>
      <c r="AV179" s="258">
        <f t="shared" si="209"/>
        <v>565.01</v>
      </c>
      <c r="AW179" s="258">
        <f t="shared" si="209"/>
        <v>5871.7820000000002</v>
      </c>
    </row>
    <row r="180" spans="1:49" x14ac:dyDescent="0.25">
      <c r="C180" s="28">
        <v>44228</v>
      </c>
      <c r="D180" s="28"/>
      <c r="E180" s="247"/>
      <c r="F180" s="216"/>
      <c r="G180" s="216"/>
      <c r="H180" s="273"/>
      <c r="I180" s="28">
        <f t="shared" si="164"/>
        <v>44228</v>
      </c>
      <c r="J180" s="284"/>
      <c r="K180" s="86"/>
      <c r="L180" s="79" t="str">
        <f t="shared" si="206"/>
        <v/>
      </c>
      <c r="M180" s="74">
        <f t="shared" si="112"/>
        <v>0</v>
      </c>
      <c r="N180" s="109"/>
      <c r="O180" s="28">
        <f t="shared" si="166"/>
        <v>44228</v>
      </c>
      <c r="P180" s="284"/>
      <c r="Q180" s="86"/>
      <c r="R180" s="79" t="str">
        <f t="shared" si="207"/>
        <v/>
      </c>
      <c r="S180" s="74">
        <f t="shared" si="114"/>
        <v>0</v>
      </c>
      <c r="T180" s="109"/>
      <c r="U180" s="109"/>
      <c r="V180" s="28">
        <f t="shared" si="168"/>
        <v>44228</v>
      </c>
      <c r="W180" s="86"/>
      <c r="X180" s="79"/>
      <c r="Y180" s="74"/>
      <c r="Z180" s="109"/>
      <c r="AA180" s="28">
        <f t="shared" si="170"/>
        <v>44228</v>
      </c>
      <c r="AB180" s="85"/>
      <c r="AC180" s="79"/>
      <c r="AD180" s="74"/>
      <c r="AE180" s="109"/>
      <c r="AF180" s="28">
        <f t="shared" si="172"/>
        <v>44228</v>
      </c>
      <c r="AG180" s="85"/>
      <c r="AH180" s="79">
        <f t="shared" si="161"/>
        <v>-47912</v>
      </c>
      <c r="AI180" s="74">
        <f t="shared" si="120"/>
        <v>0</v>
      </c>
      <c r="AJ180" s="109"/>
      <c r="AK180" s="28">
        <f t="shared" si="174"/>
        <v>44228</v>
      </c>
      <c r="AL180" s="85"/>
      <c r="AM180" s="79">
        <f t="shared" si="162"/>
        <v>-30583</v>
      </c>
      <c r="AN180" s="74">
        <f t="shared" si="122"/>
        <v>0</v>
      </c>
      <c r="AO180" s="216"/>
      <c r="AP180" s="216"/>
      <c r="AQ180" s="109"/>
      <c r="AR180" s="251"/>
      <c r="AS180" s="254"/>
      <c r="AT180" s="258" t="str">
        <f t="shared" ref="AT180:AT184" si="210">IF(AR180&lt;&gt;"",AS181-AS180,"")</f>
        <v/>
      </c>
      <c r="AU180" s="258"/>
      <c r="AV180" s="258"/>
      <c r="AW180" s="260"/>
    </row>
    <row r="181" spans="1:49" x14ac:dyDescent="0.25">
      <c r="C181" s="28">
        <v>44256</v>
      </c>
      <c r="D181" s="28"/>
      <c r="E181" s="247"/>
      <c r="F181" s="216"/>
      <c r="G181" s="216"/>
      <c r="H181" s="220"/>
      <c r="I181" s="28">
        <f t="shared" si="164"/>
        <v>44256</v>
      </c>
      <c r="J181" s="284"/>
      <c r="K181" s="86"/>
      <c r="L181" s="79" t="str">
        <f t="shared" si="206"/>
        <v/>
      </c>
      <c r="M181" s="74">
        <f t="shared" si="112"/>
        <v>0</v>
      </c>
      <c r="N181" s="109"/>
      <c r="O181" s="28">
        <f t="shared" si="166"/>
        <v>44256</v>
      </c>
      <c r="P181" s="284"/>
      <c r="Q181" s="86"/>
      <c r="R181" s="79" t="str">
        <f t="shared" si="207"/>
        <v/>
      </c>
      <c r="S181" s="74">
        <f t="shared" si="114"/>
        <v>0</v>
      </c>
      <c r="T181" s="109"/>
      <c r="U181" s="109"/>
      <c r="V181" s="28">
        <f t="shared" si="168"/>
        <v>44256</v>
      </c>
      <c r="W181" s="86"/>
      <c r="X181" s="79"/>
      <c r="Y181" s="74"/>
      <c r="Z181" s="109"/>
      <c r="AA181" s="28">
        <f t="shared" si="170"/>
        <v>44256</v>
      </c>
      <c r="AB181" s="85"/>
      <c r="AC181" s="79"/>
      <c r="AD181" s="74"/>
      <c r="AE181" s="109"/>
      <c r="AF181" s="28">
        <f t="shared" si="172"/>
        <v>44256</v>
      </c>
      <c r="AG181" s="85"/>
      <c r="AH181" s="79">
        <f t="shared" si="161"/>
        <v>-47912</v>
      </c>
      <c r="AI181" s="74">
        <f t="shared" si="120"/>
        <v>0</v>
      </c>
      <c r="AJ181" s="109"/>
      <c r="AK181" s="28">
        <f t="shared" si="174"/>
        <v>44256</v>
      </c>
      <c r="AL181" s="85"/>
      <c r="AM181" s="79">
        <f t="shared" si="162"/>
        <v>-30583</v>
      </c>
      <c r="AN181" s="74">
        <f t="shared" si="122"/>
        <v>0</v>
      </c>
      <c r="AO181" s="216"/>
      <c r="AP181" s="216"/>
      <c r="AQ181" s="109"/>
      <c r="AR181" s="251"/>
      <c r="AS181" s="254"/>
      <c r="AT181" s="258" t="str">
        <f t="shared" si="210"/>
        <v/>
      </c>
      <c r="AU181" s="258"/>
      <c r="AV181" s="258"/>
      <c r="AW181" s="260"/>
    </row>
    <row r="182" spans="1:49" x14ac:dyDescent="0.25">
      <c r="C182" s="28">
        <v>44287</v>
      </c>
      <c r="D182" s="28"/>
      <c r="E182" s="247"/>
      <c r="F182" s="216"/>
      <c r="G182" s="216"/>
      <c r="H182" s="220"/>
      <c r="I182" s="28">
        <f t="shared" si="164"/>
        <v>44287</v>
      </c>
      <c r="J182" s="284"/>
      <c r="K182" s="86"/>
      <c r="L182" s="79" t="str">
        <f t="shared" si="206"/>
        <v/>
      </c>
      <c r="M182" s="74">
        <f t="shared" si="112"/>
        <v>0</v>
      </c>
      <c r="N182" s="109"/>
      <c r="O182" s="28">
        <f t="shared" si="166"/>
        <v>44287</v>
      </c>
      <c r="P182" s="284"/>
      <c r="Q182" s="86"/>
      <c r="R182" s="79" t="str">
        <f t="shared" si="207"/>
        <v/>
      </c>
      <c r="S182" s="74">
        <f t="shared" si="114"/>
        <v>0</v>
      </c>
      <c r="T182" s="109"/>
      <c r="U182" s="109"/>
      <c r="V182" s="28">
        <f t="shared" si="168"/>
        <v>44287</v>
      </c>
      <c r="W182" s="86"/>
      <c r="X182" s="79"/>
      <c r="Y182" s="74"/>
      <c r="Z182" s="109"/>
      <c r="AA182" s="28">
        <f t="shared" si="170"/>
        <v>44287</v>
      </c>
      <c r="AB182" s="85"/>
      <c r="AC182" s="79"/>
      <c r="AD182" s="74"/>
      <c r="AE182" s="109"/>
      <c r="AF182" s="28">
        <f t="shared" si="172"/>
        <v>44287</v>
      </c>
      <c r="AG182" s="85"/>
      <c r="AH182" s="79">
        <f t="shared" si="161"/>
        <v>-47912</v>
      </c>
      <c r="AI182" s="74">
        <f t="shared" si="120"/>
        <v>0</v>
      </c>
      <c r="AJ182" s="109"/>
      <c r="AK182" s="28">
        <f t="shared" si="174"/>
        <v>44287</v>
      </c>
      <c r="AL182" s="85"/>
      <c r="AM182" s="79">
        <f t="shared" si="162"/>
        <v>-30583</v>
      </c>
      <c r="AN182" s="74">
        <f t="shared" si="122"/>
        <v>0</v>
      </c>
      <c r="AO182" s="216"/>
      <c r="AP182" s="216"/>
      <c r="AQ182" s="109"/>
      <c r="AR182" s="109"/>
      <c r="AS182" s="254"/>
      <c r="AT182" s="258" t="str">
        <f t="shared" si="210"/>
        <v/>
      </c>
      <c r="AU182" s="190"/>
      <c r="AV182" s="190"/>
      <c r="AW182" s="260"/>
    </row>
    <row r="183" spans="1:49" x14ac:dyDescent="0.25">
      <c r="C183" s="28">
        <v>44317</v>
      </c>
      <c r="D183" s="28"/>
      <c r="E183" s="247"/>
      <c r="F183" s="216"/>
      <c r="G183" s="216"/>
      <c r="H183" s="220"/>
      <c r="I183" s="28">
        <f t="shared" si="164"/>
        <v>44317</v>
      </c>
      <c r="J183" s="284"/>
      <c r="K183" s="86"/>
      <c r="L183" s="79" t="str">
        <f t="shared" si="206"/>
        <v/>
      </c>
      <c r="M183" s="74">
        <f t="shared" si="112"/>
        <v>0</v>
      </c>
      <c r="N183" s="109"/>
      <c r="O183" s="28">
        <f t="shared" si="166"/>
        <v>44317</v>
      </c>
      <c r="P183" s="284"/>
      <c r="Q183" s="86"/>
      <c r="R183" s="79" t="str">
        <f t="shared" si="207"/>
        <v/>
      </c>
      <c r="S183" s="74">
        <f t="shared" si="114"/>
        <v>0</v>
      </c>
      <c r="T183" s="109"/>
      <c r="U183" s="109"/>
      <c r="V183" s="28">
        <f t="shared" si="168"/>
        <v>44317</v>
      </c>
      <c r="W183" s="86"/>
      <c r="X183" s="79"/>
      <c r="Y183" s="74"/>
      <c r="Z183" s="109"/>
      <c r="AA183" s="28">
        <f t="shared" si="170"/>
        <v>44317</v>
      </c>
      <c r="AB183" s="85"/>
      <c r="AC183" s="79"/>
      <c r="AD183" s="74"/>
      <c r="AE183" s="109"/>
      <c r="AF183" s="28">
        <f t="shared" si="172"/>
        <v>44317</v>
      </c>
      <c r="AG183" s="85"/>
      <c r="AH183" s="79">
        <f t="shared" si="161"/>
        <v>-47912</v>
      </c>
      <c r="AI183" s="74">
        <f t="shared" si="120"/>
        <v>0</v>
      </c>
      <c r="AJ183" s="109"/>
      <c r="AK183" s="28">
        <f t="shared" si="174"/>
        <v>44317</v>
      </c>
      <c r="AL183" s="85"/>
      <c r="AM183" s="79">
        <f t="shared" si="162"/>
        <v>-30583</v>
      </c>
      <c r="AN183" s="74">
        <f t="shared" si="122"/>
        <v>0</v>
      </c>
      <c r="AO183" s="216"/>
      <c r="AP183" s="216"/>
      <c r="AQ183" s="109"/>
      <c r="AR183" s="109"/>
      <c r="AS183" s="254"/>
      <c r="AT183" s="258" t="str">
        <f t="shared" si="210"/>
        <v/>
      </c>
      <c r="AU183" s="190"/>
      <c r="AV183" s="190"/>
    </row>
    <row r="184" spans="1:49" x14ac:dyDescent="0.25">
      <c r="C184" s="28">
        <v>44348</v>
      </c>
      <c r="D184" s="28"/>
      <c r="E184" s="247"/>
      <c r="F184" s="216"/>
      <c r="G184" s="216"/>
      <c r="H184" s="220"/>
      <c r="I184" s="28">
        <f t="shared" si="124"/>
        <v>44348</v>
      </c>
      <c r="J184" s="284"/>
      <c r="K184" s="91"/>
      <c r="L184" s="89" t="str">
        <f t="shared" si="206"/>
        <v/>
      </c>
      <c r="M184" s="92"/>
      <c r="N184" s="109"/>
      <c r="O184" s="28">
        <f t="shared" si="126"/>
        <v>44348</v>
      </c>
      <c r="P184" s="284"/>
      <c r="Q184" s="88"/>
      <c r="R184" s="89" t="str">
        <f t="shared" si="207"/>
        <v/>
      </c>
      <c r="S184" s="92"/>
      <c r="T184" s="109"/>
      <c r="U184" s="109"/>
      <c r="V184" s="28">
        <f t="shared" si="128"/>
        <v>44348</v>
      </c>
      <c r="W184" s="91"/>
      <c r="X184" s="89" t="str">
        <f>IF(Y184&lt;&gt;0,W185-W135,"")</f>
        <v/>
      </c>
      <c r="Y184" s="92"/>
      <c r="Z184" s="109"/>
      <c r="AA184" s="28">
        <f t="shared" si="129"/>
        <v>44348</v>
      </c>
      <c r="AB184" s="88"/>
      <c r="AC184" s="89" t="str">
        <f>IF(AD184&lt;&gt;0,AB185-AB135,"")</f>
        <v/>
      </c>
      <c r="AD184" s="92"/>
      <c r="AE184" s="109"/>
      <c r="AF184" s="28">
        <f t="shared" si="131"/>
        <v>44348</v>
      </c>
      <c r="AG184" s="88"/>
      <c r="AH184" s="89" t="str">
        <f>IF(AI184&lt;&gt;0,AG185-AG135,"")</f>
        <v/>
      </c>
      <c r="AI184" s="92"/>
      <c r="AJ184" s="109"/>
      <c r="AK184" s="28">
        <f t="shared" si="133"/>
        <v>44348</v>
      </c>
      <c r="AL184" s="88"/>
      <c r="AM184" s="89" t="str">
        <f>IF(AN184&lt;&gt;0,AL185-AL145,"")</f>
        <v/>
      </c>
      <c r="AN184" s="92"/>
      <c r="AO184" s="216"/>
      <c r="AP184" s="216"/>
      <c r="AQ184" s="109"/>
      <c r="AR184" s="109"/>
      <c r="AS184" s="109"/>
      <c r="AT184" s="258" t="str">
        <f t="shared" si="210"/>
        <v/>
      </c>
    </row>
    <row r="185" spans="1:49" x14ac:dyDescent="0.25">
      <c r="E185" s="54"/>
      <c r="F185" s="111">
        <f>E165-CG_EN_2019</f>
        <v>2696</v>
      </c>
      <c r="G185" s="54">
        <f>SUM(G151:G162)</f>
        <v>7313</v>
      </c>
      <c r="H185" s="109"/>
      <c r="I185" s="28">
        <f t="shared" si="73"/>
        <v>0</v>
      </c>
      <c r="J185" s="28"/>
      <c r="K185" s="54"/>
      <c r="L185" s="111">
        <f>MAX(K175:K184)-JOUR_2020</f>
        <v>148</v>
      </c>
      <c r="M185" s="54">
        <f>SUM(M159:M184)</f>
        <v>701</v>
      </c>
      <c r="N185" s="109"/>
      <c r="O185" s="28">
        <f t="shared" si="74"/>
        <v>0</v>
      </c>
      <c r="P185" s="284"/>
      <c r="Q185" s="54"/>
      <c r="R185" s="111">
        <f>MAX(Q175:Q184)-NUIT_2020</f>
        <v>751</v>
      </c>
      <c r="S185" s="54">
        <f>SUM(S159:S184)</f>
        <v>1046</v>
      </c>
      <c r="T185" s="109"/>
      <c r="U185" s="109"/>
      <c r="V185" s="28">
        <f t="shared" si="75"/>
        <v>0</v>
      </c>
      <c r="W185" s="54"/>
      <c r="X185" s="111">
        <f>MAX(W167:W184)-MCS_J_2019</f>
        <v>1521</v>
      </c>
      <c r="Y185" s="54">
        <f>SUM(Y130:Y184)</f>
        <v>3516</v>
      </c>
      <c r="Z185" s="109"/>
      <c r="AA185" s="34">
        <f t="shared" si="76"/>
        <v>0</v>
      </c>
      <c r="AB185" s="54"/>
      <c r="AC185" s="111">
        <f>MAX(AB167:AB184)-MCS_N_2019</f>
        <v>5338</v>
      </c>
      <c r="AD185" s="54">
        <f>SUM(AD130:AD184)</f>
        <v>14178</v>
      </c>
      <c r="AE185" s="109"/>
      <c r="AF185" s="34">
        <f t="shared" si="77"/>
        <v>0</v>
      </c>
      <c r="AG185" s="102"/>
      <c r="AH185" s="111">
        <f>MAX(AG167:AG184)-G_2019</f>
        <v>4231</v>
      </c>
      <c r="AI185" s="54">
        <f>SUM(AI130:AI184)</f>
        <v>-45632</v>
      </c>
      <c r="AJ185" s="109"/>
      <c r="AK185" s="28">
        <f t="shared" si="78"/>
        <v>0</v>
      </c>
      <c r="AL185" s="54"/>
      <c r="AM185" s="111">
        <f>MAX(AL147:AL184)-PRODUCT</f>
        <v>4498</v>
      </c>
      <c r="AN185" s="54">
        <f>SUM(AN130:AN184)</f>
        <v>-23500</v>
      </c>
      <c r="AO185" s="54"/>
      <c r="AP185" s="54"/>
      <c r="AQ185" s="109"/>
      <c r="AR185" s="109"/>
      <c r="AS185" s="109"/>
    </row>
    <row r="186" spans="1:49" x14ac:dyDescent="0.25">
      <c r="E186" s="54"/>
      <c r="F186" s="160" t="s">
        <v>51</v>
      </c>
      <c r="G186" s="161" t="s">
        <v>52</v>
      </c>
      <c r="I186" s="28"/>
      <c r="J186" s="28"/>
      <c r="K186" s="54"/>
      <c r="L186" s="160" t="s">
        <v>51</v>
      </c>
      <c r="M186" s="161" t="s">
        <v>52</v>
      </c>
      <c r="N186" s="110"/>
      <c r="O186" s="28"/>
      <c r="P186" s="284"/>
      <c r="Q186" s="54"/>
      <c r="R186" s="160" t="s">
        <v>51</v>
      </c>
      <c r="S186" s="161" t="s">
        <v>52</v>
      </c>
      <c r="V186" s="28"/>
      <c r="W186" s="54"/>
      <c r="X186" s="54"/>
      <c r="Y186" s="54"/>
      <c r="AA186" s="34"/>
      <c r="AB186" s="54"/>
      <c r="AC186" s="54"/>
      <c r="AD186" s="54"/>
      <c r="AF186" s="34"/>
      <c r="AG186" s="102"/>
      <c r="AH186" s="102"/>
      <c r="AI186" s="54"/>
      <c r="AK186" s="28"/>
      <c r="AL186" s="54"/>
      <c r="AM186" s="54"/>
      <c r="AN186" s="54"/>
      <c r="AO186" s="54"/>
      <c r="AP186" s="54"/>
    </row>
    <row r="187" spans="1:49" x14ac:dyDescent="0.25">
      <c r="E187" s="54"/>
      <c r="F187" s="160"/>
      <c r="G187" s="161"/>
      <c r="I187" s="28"/>
      <c r="J187" s="28"/>
      <c r="K187" s="54"/>
      <c r="L187" s="160"/>
      <c r="M187" s="161"/>
      <c r="N187" s="110"/>
      <c r="O187" s="28"/>
      <c r="P187" s="284"/>
      <c r="Q187" s="54"/>
      <c r="R187" s="160"/>
      <c r="S187" s="161"/>
      <c r="V187" s="28"/>
      <c r="W187" s="54"/>
      <c r="X187" s="54"/>
      <c r="Y187" s="54"/>
      <c r="AA187" s="34"/>
      <c r="AB187" s="54"/>
      <c r="AC187" s="54"/>
      <c r="AD187" s="54"/>
      <c r="AF187" s="34"/>
      <c r="AG187" s="102"/>
      <c r="AH187" s="102"/>
      <c r="AI187" s="54"/>
      <c r="AK187" s="28"/>
      <c r="AL187" s="54"/>
      <c r="AM187" s="54"/>
      <c r="AN187" s="54"/>
      <c r="AO187" s="54"/>
      <c r="AP187" s="54"/>
    </row>
    <row r="188" spans="1:49" x14ac:dyDescent="0.25">
      <c r="C188" s="1" t="s">
        <v>26</v>
      </c>
      <c r="E188" s="106">
        <f>F185</f>
        <v>2696</v>
      </c>
      <c r="F188" s="146">
        <f>ROUND(E188*Q213,2)</f>
        <v>0</v>
      </c>
      <c r="G188" s="54"/>
      <c r="I188" s="28"/>
      <c r="J188" s="28"/>
      <c r="K188" s="106">
        <f>MAX(0,L185)</f>
        <v>148</v>
      </c>
      <c r="L188" s="146">
        <f>ROUND(K188*R213,2)</f>
        <v>33.32</v>
      </c>
      <c r="M188" s="54"/>
      <c r="O188" s="28"/>
      <c r="P188" s="284"/>
      <c r="Q188" s="106">
        <f>MAX(0,R185)</f>
        <v>751</v>
      </c>
      <c r="R188" s="146">
        <f>ROUND(Q188*S213,2)</f>
        <v>131.96</v>
      </c>
      <c r="S188" s="54"/>
      <c r="V188" s="28"/>
      <c r="W188" s="106">
        <f>X185</f>
        <v>1521</v>
      </c>
      <c r="X188" s="146">
        <f>ROUND(W188*R213,2)</f>
        <v>342.39</v>
      </c>
      <c r="Y188" s="54"/>
      <c r="AA188" s="34"/>
      <c r="AB188" s="106">
        <f>AC185</f>
        <v>5338</v>
      </c>
      <c r="AC188" s="146">
        <f>ROUND(AB188*S213,2)</f>
        <v>937.92</v>
      </c>
      <c r="AD188" s="54"/>
      <c r="AF188" s="34"/>
      <c r="AG188" s="106">
        <f>AH185</f>
        <v>4231</v>
      </c>
      <c r="AH188" s="146">
        <f>ROUND(AG188*R213,2)</f>
        <v>952.43</v>
      </c>
      <c r="AI188" s="54"/>
      <c r="AK188" s="28"/>
      <c r="AL188" s="54"/>
      <c r="AM188" s="54"/>
      <c r="AN188" s="54"/>
      <c r="AO188" s="54"/>
      <c r="AP188" s="54"/>
    </row>
    <row r="189" spans="1:49" x14ac:dyDescent="0.25">
      <c r="E189" s="54"/>
      <c r="F189" s="54"/>
      <c r="G189" s="54"/>
      <c r="I189" s="28"/>
      <c r="J189" s="28"/>
      <c r="K189" s="54"/>
      <c r="L189" s="54"/>
      <c r="M189" s="54"/>
      <c r="O189" s="28"/>
      <c r="P189" s="284"/>
      <c r="Q189" s="54"/>
      <c r="R189" s="54"/>
      <c r="S189" s="54"/>
      <c r="V189" s="28"/>
      <c r="W189" s="54"/>
      <c r="X189" s="54"/>
      <c r="Y189" s="54"/>
      <c r="AA189" s="34"/>
      <c r="AB189" s="54"/>
      <c r="AC189" s="54"/>
      <c r="AD189" s="54"/>
      <c r="AF189" s="34"/>
      <c r="AG189" s="102" t="s">
        <v>49</v>
      </c>
      <c r="AH189" s="102"/>
      <c r="AI189" s="54"/>
      <c r="AK189" s="28"/>
      <c r="AL189" s="54"/>
      <c r="AM189" s="54"/>
      <c r="AN189" s="54"/>
      <c r="AO189" s="54"/>
      <c r="AP189" s="54"/>
    </row>
    <row r="190" spans="1:49" ht="15.75" thickBot="1" x14ac:dyDescent="0.3">
      <c r="E190" s="153" t="s">
        <v>50</v>
      </c>
      <c r="F190" s="151"/>
      <c r="G190" s="151"/>
      <c r="H190" s="152">
        <f>F188+L188+R188</f>
        <v>165.28</v>
      </c>
      <c r="I190" s="28" t="s">
        <v>79</v>
      </c>
      <c r="J190" s="28"/>
      <c r="K190" s="266">
        <f>H190+X208</f>
        <v>254.93</v>
      </c>
      <c r="L190" s="54"/>
      <c r="M190" s="54"/>
      <c r="O190" s="28"/>
      <c r="P190" s="284"/>
      <c r="Q190" s="54"/>
      <c r="R190" s="54"/>
      <c r="S190" s="54"/>
      <c r="V190" s="28"/>
      <c r="W190" s="147" t="s">
        <v>48</v>
      </c>
      <c r="X190" s="148"/>
      <c r="Y190" s="149">
        <f>X188+AC188</f>
        <v>1280.31</v>
      </c>
      <c r="Z190" s="28" t="s">
        <v>79</v>
      </c>
      <c r="AA190" s="172">
        <f>Y190+X208</f>
        <v>1369.96</v>
      </c>
      <c r="AB190" s="54"/>
      <c r="AC190" s="54"/>
      <c r="AD190" s="54"/>
      <c r="AF190" s="34"/>
      <c r="AG190" s="102"/>
      <c r="AH190" s="102"/>
      <c r="AI190" s="54"/>
      <c r="AK190" s="28"/>
      <c r="AL190" s="54"/>
      <c r="AM190" s="54"/>
      <c r="AN190" s="54"/>
      <c r="AO190" s="54"/>
      <c r="AP190" s="54"/>
    </row>
    <row r="191" spans="1:49" ht="16.5" thickBot="1" x14ac:dyDescent="0.3">
      <c r="E191" s="157"/>
      <c r="F191" s="158"/>
      <c r="I191" s="158" t="s">
        <v>78</v>
      </c>
      <c r="J191" s="158"/>
      <c r="K191" s="267">
        <f>ROUND(K190*1.21,2)</f>
        <v>308.47000000000003</v>
      </c>
      <c r="L191" s="176">
        <f>ROUND(K191/12,2)</f>
        <v>25.71</v>
      </c>
      <c r="M191" s="177" t="s">
        <v>89</v>
      </c>
      <c r="O191" s="28"/>
      <c r="P191" s="284"/>
      <c r="Q191" s="255">
        <f>M177+S177</f>
        <v>944</v>
      </c>
      <c r="R191" s="54">
        <f>M161+S161+Y161+AD161+G161</f>
        <v>2467</v>
      </c>
      <c r="S191" s="54"/>
      <c r="V191" s="28"/>
      <c r="W191" s="154"/>
      <c r="X191" s="155"/>
      <c r="Y191" s="156"/>
      <c r="Z191" s="158" t="s">
        <v>78</v>
      </c>
      <c r="AA191" s="159">
        <f>ROUND(AA190*1.21,2)</f>
        <v>1657.65</v>
      </c>
      <c r="AB191" s="176">
        <f>ROUND(AA191/12,2)</f>
        <v>138.13999999999999</v>
      </c>
      <c r="AC191" s="54" t="s">
        <v>89</v>
      </c>
      <c r="AD191" s="54"/>
      <c r="AF191" s="34"/>
      <c r="AG191" s="102"/>
      <c r="AH191" s="102"/>
      <c r="AI191" s="54"/>
      <c r="AK191" s="28"/>
      <c r="AL191" s="54"/>
      <c r="AM191" s="54"/>
      <c r="AN191" s="54"/>
      <c r="AO191" s="54"/>
      <c r="AP191" s="54"/>
    </row>
    <row r="192" spans="1:49" x14ac:dyDescent="0.25">
      <c r="E192" s="54"/>
      <c r="F192" s="54"/>
      <c r="G192" s="54"/>
      <c r="I192" s="173" t="s">
        <v>81</v>
      </c>
      <c r="J192" s="173"/>
      <c r="K192" s="54"/>
      <c r="L192" s="54"/>
      <c r="M192" s="54"/>
      <c r="O192" s="28"/>
      <c r="P192" s="284"/>
      <c r="Q192" s="54"/>
      <c r="R192" s="54"/>
      <c r="S192" s="54"/>
      <c r="V192" s="28"/>
      <c r="W192" s="54"/>
      <c r="X192" s="54"/>
      <c r="Y192" s="54"/>
      <c r="Z192" s="34" t="s">
        <v>80</v>
      </c>
      <c r="AB192" s="54"/>
      <c r="AC192" s="54"/>
      <c r="AD192" s="54"/>
      <c r="AF192" s="34"/>
      <c r="AG192" s="102"/>
      <c r="AH192" s="102"/>
      <c r="AI192" s="54"/>
      <c r="AK192" s="28"/>
      <c r="AL192" s="54"/>
      <c r="AM192" s="54"/>
      <c r="AN192" s="54"/>
      <c r="AO192" s="54"/>
      <c r="AP192" s="54"/>
    </row>
    <row r="193" spans="5:51" ht="15.75" x14ac:dyDescent="0.25">
      <c r="E193" s="121" t="s">
        <v>37</v>
      </c>
      <c r="F193" s="54"/>
      <c r="G193" s="54"/>
      <c r="I193" s="28"/>
      <c r="J193" s="28"/>
      <c r="K193" s="54"/>
      <c r="L193" s="54"/>
      <c r="M193" s="54"/>
      <c r="R193" s="54"/>
      <c r="S193" s="54"/>
      <c r="V193" s="28"/>
      <c r="W193" s="54"/>
      <c r="X193" s="54"/>
      <c r="Y193" s="54"/>
      <c r="AA193" s="34"/>
      <c r="AB193" s="54"/>
      <c r="AC193" s="54"/>
      <c r="AD193" s="54"/>
      <c r="AF193" s="34"/>
      <c r="AG193" s="102"/>
      <c r="AH193" s="102"/>
      <c r="AI193" s="54"/>
      <c r="AK193" s="28"/>
      <c r="AL193" s="54"/>
      <c r="AM193" s="54"/>
      <c r="AN193" s="54"/>
      <c r="AO193" s="54"/>
      <c r="AP193" s="54"/>
    </row>
    <row r="194" spans="5:51" x14ac:dyDescent="0.25">
      <c r="E194" s="54"/>
      <c r="F194" s="54"/>
      <c r="G194" s="54"/>
      <c r="I194" s="28"/>
      <c r="J194" s="28"/>
      <c r="K194" s="54"/>
      <c r="L194" s="54"/>
      <c r="M194" s="54"/>
      <c r="O194" s="28"/>
      <c r="P194" s="284"/>
      <c r="Q194" s="54"/>
      <c r="R194" s="54"/>
      <c r="S194" s="54"/>
      <c r="V194" s="28"/>
      <c r="W194" s="54"/>
      <c r="X194" s="54"/>
      <c r="Y194" s="54"/>
      <c r="AA194" s="34"/>
      <c r="AB194" s="54"/>
      <c r="AC194" s="54"/>
      <c r="AD194" s="54"/>
      <c r="AF194" s="34"/>
      <c r="AG194" s="102"/>
      <c r="AH194" s="102"/>
      <c r="AI194" s="54"/>
      <c r="AK194" s="28"/>
      <c r="AL194" s="54"/>
      <c r="AM194" s="54"/>
      <c r="AN194" s="54"/>
      <c r="AO194" s="54"/>
      <c r="AP194" s="54"/>
    </row>
    <row r="195" spans="5:51" s="113" customFormat="1" x14ac:dyDescent="0.25">
      <c r="E195" s="114"/>
      <c r="F195" s="115" t="s">
        <v>24</v>
      </c>
      <c r="G195" s="114"/>
      <c r="H195" s="116"/>
      <c r="I195" s="117"/>
      <c r="J195" s="117"/>
      <c r="K195" s="114"/>
      <c r="L195" s="114"/>
      <c r="M195" s="114"/>
      <c r="O195" s="117"/>
      <c r="P195" s="290"/>
      <c r="Q195" s="277" t="s">
        <v>35</v>
      </c>
      <c r="R195" s="277"/>
      <c r="S195" s="277"/>
      <c r="T195" s="277"/>
      <c r="U195" s="277"/>
      <c r="V195" s="277"/>
      <c r="W195" s="114"/>
      <c r="X195" s="114"/>
      <c r="Y195" s="114"/>
      <c r="AA195" s="118"/>
      <c r="AB195" s="114"/>
      <c r="AC195" s="114"/>
      <c r="AD195" s="114"/>
      <c r="AF195" s="118"/>
      <c r="AG195" s="119"/>
      <c r="AH195" s="119"/>
      <c r="AI195" s="114"/>
      <c r="AK195" s="117"/>
      <c r="AL195" s="114"/>
      <c r="AM195" s="114"/>
      <c r="AN195" s="114"/>
      <c r="AO195" s="192"/>
      <c r="AP195" s="192"/>
      <c r="AQ195" s="120"/>
      <c r="AR195" s="120"/>
      <c r="AS195" s="120"/>
      <c r="AT195" s="186"/>
      <c r="AU195" s="188"/>
      <c r="AV195" s="188"/>
      <c r="AW195" s="119"/>
      <c r="AX195" s="191"/>
      <c r="AY195" s="119"/>
    </row>
    <row r="197" spans="5:51" x14ac:dyDescent="0.25">
      <c r="E197" s="2"/>
      <c r="F197" s="3" t="s">
        <v>12</v>
      </c>
      <c r="G197" s="4"/>
      <c r="K197" s="5"/>
      <c r="L197" s="6" t="s">
        <v>13</v>
      </c>
      <c r="M197" s="7"/>
      <c r="AL197" s="274" t="s">
        <v>34</v>
      </c>
      <c r="AM197" s="275"/>
      <c r="AN197" s="276"/>
      <c r="AO197" s="217"/>
      <c r="AP197" s="217"/>
      <c r="AW197" s="181">
        <f>SUM(AW38:AW196)</f>
        <v>11921.833999999999</v>
      </c>
      <c r="AX197" s="181"/>
      <c r="AY197" s="182">
        <f>SUM(AY38:AY196)</f>
        <v>10038.25</v>
      </c>
    </row>
    <row r="198" spans="5:51" x14ac:dyDescent="0.25">
      <c r="AW198" s="102" t="s">
        <v>36</v>
      </c>
      <c r="AY198" s="102">
        <f>ROUND(AY197/AW197,2)</f>
        <v>0.84</v>
      </c>
    </row>
    <row r="201" spans="5:51" x14ac:dyDescent="0.25">
      <c r="M201" t="s">
        <v>33</v>
      </c>
    </row>
    <row r="202" spans="5:51" x14ac:dyDescent="0.25">
      <c r="F202" t="s">
        <v>30</v>
      </c>
      <c r="G202" s="108"/>
      <c r="H202" t="s">
        <v>32</v>
      </c>
      <c r="K202" t="s">
        <v>31</v>
      </c>
      <c r="N202" s="150" t="s">
        <v>70</v>
      </c>
      <c r="O202" s="150"/>
      <c r="P202" s="291"/>
      <c r="AD202" s="11"/>
      <c r="AF202" s="1"/>
      <c r="AM202" s="18"/>
      <c r="AN202" s="19"/>
      <c r="AO202" s="19"/>
      <c r="AP202" s="19"/>
      <c r="AQ202" s="1"/>
      <c r="AR202" s="1"/>
      <c r="AS202" s="1"/>
      <c r="AT202" s="52"/>
    </row>
    <row r="203" spans="5:51" x14ac:dyDescent="0.25">
      <c r="E203" s="124"/>
      <c r="F203" s="125"/>
      <c r="G203" s="126"/>
      <c r="H203" s="125"/>
      <c r="I203" s="126"/>
      <c r="J203" s="126"/>
      <c r="K203" s="125"/>
      <c r="L203" s="126"/>
      <c r="M203" s="125"/>
      <c r="N203" s="166"/>
      <c r="Q203" s="131" t="s">
        <v>77</v>
      </c>
      <c r="R203" s="132"/>
      <c r="S203" s="132"/>
      <c r="T203" s="132"/>
      <c r="U203" s="132"/>
      <c r="V203" s="133" t="s">
        <v>38</v>
      </c>
      <c r="W203" s="132"/>
      <c r="X203" s="134"/>
      <c r="AD203" s="11"/>
      <c r="AF203" s="1"/>
      <c r="AM203" s="18"/>
      <c r="AN203" s="19"/>
      <c r="AO203" s="19"/>
      <c r="AP203" s="19"/>
      <c r="AQ203" s="1"/>
      <c r="AR203" s="1"/>
      <c r="AS203" s="1"/>
      <c r="AT203" s="52"/>
    </row>
    <row r="204" spans="5:51" x14ac:dyDescent="0.25">
      <c r="E204" s="127" t="s">
        <v>54</v>
      </c>
      <c r="F204" s="171">
        <v>61644</v>
      </c>
      <c r="G204" s="112">
        <f>IF(F205&lt;&gt;0,F205-F204,"")</f>
        <v>35</v>
      </c>
      <c r="H204" s="171">
        <v>49100</v>
      </c>
      <c r="I204" s="112">
        <f t="shared" ref="I204:I208" si="211">IF(H205&lt;&gt;0,H205-H204,"")</f>
        <v>39</v>
      </c>
      <c r="J204" s="112"/>
      <c r="K204" s="171">
        <v>47008</v>
      </c>
      <c r="L204" s="112">
        <f t="shared" ref="L204:L208" si="212">IF(K205&lt;&gt;0,K205-K204,"")</f>
        <v>13</v>
      </c>
      <c r="N204" s="167">
        <f t="shared" ref="N204:N220" si="213">IF(L204&lt;&gt;"",ROUND(G204*ExclNuit,3)+ROUND(I204*Bi_Jour,3)+ROUND(L204*Bi_Nuit,3),"")</f>
        <v>11.062999999999999</v>
      </c>
      <c r="V204" s="122"/>
      <c r="AD204" s="11"/>
      <c r="AF204" s="1"/>
      <c r="AM204" s="18"/>
      <c r="AN204" s="19"/>
      <c r="AO204" s="19"/>
      <c r="AP204" s="19"/>
      <c r="AQ204" s="1"/>
      <c r="AR204" s="1"/>
      <c r="AS204" s="1"/>
      <c r="AT204" s="52"/>
    </row>
    <row r="205" spans="5:51" x14ac:dyDescent="0.25">
      <c r="E205" s="127" t="s">
        <v>53</v>
      </c>
      <c r="F205" s="171">
        <v>61679</v>
      </c>
      <c r="G205" s="112">
        <f>IF(F206&lt;&gt;0,F206-F205,"")</f>
        <v>502</v>
      </c>
      <c r="H205" s="171">
        <v>49139</v>
      </c>
      <c r="I205" s="112">
        <f t="shared" si="211"/>
        <v>80</v>
      </c>
      <c r="J205" s="112"/>
      <c r="K205" s="171">
        <v>47021</v>
      </c>
      <c r="L205" s="112">
        <f t="shared" si="212"/>
        <v>224</v>
      </c>
      <c r="N205" s="167">
        <f t="shared" si="213"/>
        <v>57.366999999999997</v>
      </c>
      <c r="Q205" s="135" t="s">
        <v>30</v>
      </c>
      <c r="R205" s="136" t="s">
        <v>32</v>
      </c>
      <c r="S205" s="136" t="s">
        <v>31</v>
      </c>
      <c r="T205" s="125"/>
      <c r="U205" s="125"/>
      <c r="V205" s="137" t="s">
        <v>39</v>
      </c>
      <c r="W205" s="125"/>
      <c r="X205" s="138">
        <v>75</v>
      </c>
      <c r="Z205" s="1">
        <f>ROUND(1.5*Bi_Jour,2)</f>
        <v>0.34</v>
      </c>
      <c r="AD205" s="11"/>
      <c r="AF205" s="1"/>
      <c r="AM205" s="18"/>
      <c r="AN205" s="19"/>
      <c r="AO205" s="19"/>
      <c r="AP205" s="19"/>
      <c r="AQ205" s="1"/>
      <c r="AR205" s="1"/>
      <c r="AS205" s="1"/>
      <c r="AT205" s="52"/>
    </row>
    <row r="206" spans="5:51" x14ac:dyDescent="0.25">
      <c r="E206" s="127" t="s">
        <v>55</v>
      </c>
      <c r="F206" s="171">
        <v>62181</v>
      </c>
      <c r="G206" s="112">
        <f t="shared" ref="G206:G208" si="214">IF(F207&lt;&gt;0,F207-F206,"")</f>
        <v>329</v>
      </c>
      <c r="H206" s="171">
        <v>49219</v>
      </c>
      <c r="I206" s="112">
        <f t="shared" si="211"/>
        <v>63</v>
      </c>
      <c r="J206" s="112"/>
      <c r="K206" s="171">
        <v>47245</v>
      </c>
      <c r="L206" s="112">
        <f t="shared" si="212"/>
        <v>115</v>
      </c>
      <c r="N206" s="167">
        <f t="shared" si="213"/>
        <v>34.387999999999998</v>
      </c>
      <c r="Q206" s="139">
        <v>0</v>
      </c>
      <c r="R206" s="140">
        <v>6.6400000000000001E-2</v>
      </c>
      <c r="S206" s="140">
        <v>5.6599999999999998E-2</v>
      </c>
      <c r="T206" t="s">
        <v>47</v>
      </c>
      <c r="U206"/>
      <c r="V206" s="122" t="s">
        <v>42</v>
      </c>
      <c r="X206" s="128">
        <v>14.65</v>
      </c>
      <c r="AD206" s="11"/>
      <c r="AF206" s="1"/>
      <c r="AM206" s="18"/>
      <c r="AN206" s="19"/>
      <c r="AO206" s="19"/>
      <c r="AP206" s="19"/>
      <c r="AQ206" s="1"/>
      <c r="AR206" s="1"/>
      <c r="AS206" s="1"/>
      <c r="AT206" s="52"/>
    </row>
    <row r="207" spans="5:51" x14ac:dyDescent="0.25">
      <c r="E207" s="127" t="s">
        <v>56</v>
      </c>
      <c r="F207" s="171">
        <v>62510</v>
      </c>
      <c r="G207" s="112">
        <f t="shared" si="214"/>
        <v>329</v>
      </c>
      <c r="H207" s="171">
        <v>49282</v>
      </c>
      <c r="I207" s="112">
        <f t="shared" si="211"/>
        <v>50</v>
      </c>
      <c r="J207" s="112"/>
      <c r="K207" s="171">
        <v>47360</v>
      </c>
      <c r="L207" s="112">
        <f t="shared" si="212"/>
        <v>142</v>
      </c>
      <c r="N207" s="167">
        <f t="shared" si="213"/>
        <v>36.204999999999998</v>
      </c>
      <c r="Q207" s="139">
        <v>0</v>
      </c>
      <c r="R207" s="140">
        <v>2.3820000000000001E-2</v>
      </c>
      <c r="S207" s="140">
        <v>2.3820000000000001E-2</v>
      </c>
      <c r="T207" t="s">
        <v>139</v>
      </c>
      <c r="U207"/>
      <c r="V207" s="122"/>
      <c r="X207" s="128"/>
      <c r="AD207" s="11"/>
      <c r="AF207" s="1"/>
      <c r="AM207" s="18"/>
      <c r="AN207" s="19"/>
      <c r="AO207" s="19"/>
      <c r="AP207" s="19"/>
      <c r="AQ207" s="1"/>
      <c r="AR207" s="1"/>
      <c r="AS207" s="1"/>
      <c r="AT207" s="52"/>
    </row>
    <row r="208" spans="5:51" x14ac:dyDescent="0.25">
      <c r="E208" s="127" t="s">
        <v>57</v>
      </c>
      <c r="F208" s="171">
        <v>62839</v>
      </c>
      <c r="G208" s="112">
        <f t="shared" si="214"/>
        <v>287</v>
      </c>
      <c r="H208" s="171">
        <v>49332</v>
      </c>
      <c r="I208" s="112">
        <f t="shared" si="211"/>
        <v>40</v>
      </c>
      <c r="J208" s="112"/>
      <c r="K208" s="171">
        <v>47502</v>
      </c>
      <c r="L208" s="112">
        <f t="shared" si="212"/>
        <v>127</v>
      </c>
      <c r="N208" s="167">
        <f t="shared" si="213"/>
        <v>31.319000000000003</v>
      </c>
      <c r="Q208" s="139">
        <v>0</v>
      </c>
      <c r="R208" s="140">
        <v>9.7000000000000003E-2</v>
      </c>
      <c r="S208" s="140">
        <v>5.74E-2</v>
      </c>
      <c r="T208" t="s">
        <v>41</v>
      </c>
      <c r="U208"/>
      <c r="V208" s="122"/>
      <c r="X208" s="141">
        <f>SUM(X205:X206)</f>
        <v>89.65</v>
      </c>
      <c r="AD208" s="11"/>
      <c r="AF208" s="1"/>
      <c r="AM208" s="18"/>
      <c r="AN208" s="19"/>
      <c r="AO208" s="19"/>
      <c r="AP208" s="19"/>
      <c r="AQ208" s="1"/>
      <c r="AR208" s="1"/>
      <c r="AS208" s="1"/>
      <c r="AT208" s="52"/>
    </row>
    <row r="209" spans="5:46" x14ac:dyDescent="0.25">
      <c r="E209" s="127" t="s">
        <v>58</v>
      </c>
      <c r="F209" s="171">
        <v>63126</v>
      </c>
      <c r="G209" s="112">
        <f t="shared" ref="G209:G214" si="215">IF(F210&lt;&gt;0,F210-F209,"")</f>
        <v>305</v>
      </c>
      <c r="H209" s="171">
        <v>49372</v>
      </c>
      <c r="I209" s="112">
        <f t="shared" ref="I209:I214" si="216">IF(H210&lt;&gt;0,H210-H209,"")</f>
        <v>37</v>
      </c>
      <c r="J209" s="112"/>
      <c r="K209" s="171">
        <v>47629</v>
      </c>
      <c r="L209" s="112">
        <f t="shared" ref="L209:L214" si="217">IF(K210&lt;&gt;0,K210-K209,"")</f>
        <v>137</v>
      </c>
      <c r="N209" s="167">
        <f t="shared" si="213"/>
        <v>32.400999999999996</v>
      </c>
      <c r="O209"/>
      <c r="P209" s="285"/>
      <c r="Q209" s="139">
        <v>0</v>
      </c>
      <c r="R209" s="140">
        <v>3.1800000000000002E-2</v>
      </c>
      <c r="S209" s="140">
        <v>3.1800000000000002E-2</v>
      </c>
      <c r="T209" t="s">
        <v>40</v>
      </c>
      <c r="U209"/>
      <c r="V209" s="122"/>
      <c r="X209" s="128"/>
      <c r="AD209" s="11"/>
      <c r="AF209" s="1"/>
      <c r="AM209" s="18"/>
      <c r="AN209" s="19"/>
      <c r="AO209" s="19"/>
      <c r="AP209" s="19"/>
      <c r="AQ209" s="1"/>
      <c r="AR209" s="1"/>
      <c r="AS209" s="1"/>
      <c r="AT209" s="52"/>
    </row>
    <row r="210" spans="5:46" x14ac:dyDescent="0.25">
      <c r="E210" s="127" t="s">
        <v>59</v>
      </c>
      <c r="F210" s="171">
        <v>63431</v>
      </c>
      <c r="G210" s="112">
        <f t="shared" si="215"/>
        <v>471</v>
      </c>
      <c r="H210" s="171">
        <v>49409</v>
      </c>
      <c r="I210" s="112">
        <f t="shared" si="216"/>
        <v>41</v>
      </c>
      <c r="J210" s="112"/>
      <c r="K210" s="171">
        <v>47766</v>
      </c>
      <c r="L210" s="112">
        <f t="shared" si="217"/>
        <v>144</v>
      </c>
      <c r="N210" s="167">
        <f t="shared" si="213"/>
        <v>34.530999999999999</v>
      </c>
      <c r="O210"/>
      <c r="P210" s="285"/>
      <c r="Q210" s="139">
        <v>0</v>
      </c>
      <c r="R210" s="140">
        <v>3.411E-3</v>
      </c>
      <c r="S210" s="140">
        <v>3.411E-3</v>
      </c>
      <c r="T210" t="s">
        <v>43</v>
      </c>
      <c r="U210"/>
      <c r="V210" s="11"/>
      <c r="X210" s="128"/>
      <c r="AD210" s="11"/>
      <c r="AF210" s="1"/>
      <c r="AM210" s="18"/>
      <c r="AN210" s="19"/>
      <c r="AO210" s="19"/>
      <c r="AP210" s="19"/>
      <c r="AQ210" s="1"/>
      <c r="AR210" s="1"/>
      <c r="AS210" s="1"/>
      <c r="AT210" s="52"/>
    </row>
    <row r="211" spans="5:46" x14ac:dyDescent="0.25">
      <c r="E211" s="127" t="s">
        <v>60</v>
      </c>
      <c r="F211" s="171">
        <v>63902</v>
      </c>
      <c r="G211" s="112">
        <f t="shared" si="215"/>
        <v>489</v>
      </c>
      <c r="H211" s="171">
        <v>49450</v>
      </c>
      <c r="I211" s="112">
        <f>IF(H212&lt;&gt;0,H212-H211,"")</f>
        <v>2</v>
      </c>
      <c r="J211" s="112"/>
      <c r="K211" s="171">
        <v>47910</v>
      </c>
      <c r="L211" s="112">
        <f t="shared" si="217"/>
        <v>124</v>
      </c>
      <c r="N211" s="167">
        <f t="shared" si="213"/>
        <v>22.238</v>
      </c>
      <c r="Q211" s="139">
        <v>0</v>
      </c>
      <c r="R211" s="140">
        <v>1.926E-3</v>
      </c>
      <c r="S211" s="140">
        <v>1.926E-3</v>
      </c>
      <c r="T211" t="s">
        <v>44</v>
      </c>
      <c r="U211"/>
      <c r="V211" s="11"/>
      <c r="X211" s="128"/>
      <c r="AD211" s="11"/>
      <c r="AF211" s="1"/>
      <c r="AM211" s="18"/>
      <c r="AN211" s="19"/>
      <c r="AO211" s="19"/>
      <c r="AP211" s="19"/>
      <c r="AQ211" s="1"/>
      <c r="AR211" s="1"/>
      <c r="AS211" s="1"/>
      <c r="AT211" s="52"/>
    </row>
    <row r="212" spans="5:46" x14ac:dyDescent="0.25">
      <c r="E212" s="127" t="s">
        <v>61</v>
      </c>
      <c r="F212" s="171">
        <v>64391</v>
      </c>
      <c r="G212" s="112">
        <f t="shared" si="215"/>
        <v>514</v>
      </c>
      <c r="H212" s="171">
        <v>49452</v>
      </c>
      <c r="I212" s="112">
        <f t="shared" si="216"/>
        <v>3</v>
      </c>
      <c r="J212" s="112"/>
      <c r="K212" s="171">
        <v>48034</v>
      </c>
      <c r="L212" s="112">
        <f t="shared" si="217"/>
        <v>123</v>
      </c>
      <c r="N212" s="167">
        <f t="shared" si="213"/>
        <v>22.286999999999999</v>
      </c>
      <c r="Q212" s="139">
        <v>0</v>
      </c>
      <c r="R212" s="140">
        <v>7.5000000000000002E-4</v>
      </c>
      <c r="S212" s="140">
        <v>7.5000000000000002E-4</v>
      </c>
      <c r="T212" t="s">
        <v>45</v>
      </c>
      <c r="U212"/>
      <c r="V212" s="11"/>
      <c r="X212" s="128"/>
      <c r="Z212" s="11"/>
      <c r="AA212" s="1"/>
      <c r="AD212" s="11"/>
      <c r="AF212" s="1"/>
      <c r="AM212" s="18"/>
      <c r="AN212" s="19"/>
      <c r="AO212" s="19"/>
      <c r="AP212" s="19"/>
      <c r="AQ212" s="1"/>
      <c r="AR212" s="1"/>
      <c r="AS212" s="1"/>
      <c r="AT212" s="52"/>
    </row>
    <row r="213" spans="5:46" x14ac:dyDescent="0.25">
      <c r="E213" s="127" t="s">
        <v>62</v>
      </c>
      <c r="F213" s="171">
        <v>64905</v>
      </c>
      <c r="G213" s="112">
        <f t="shared" si="215"/>
        <v>524</v>
      </c>
      <c r="H213" s="171">
        <v>49455</v>
      </c>
      <c r="I213" s="112">
        <f t="shared" si="216"/>
        <v>13</v>
      </c>
      <c r="J213" s="112"/>
      <c r="K213" s="171">
        <v>48157</v>
      </c>
      <c r="L213" s="112">
        <f t="shared" si="217"/>
        <v>144</v>
      </c>
      <c r="N213" s="167">
        <f t="shared" si="213"/>
        <v>28.228000000000002</v>
      </c>
      <c r="Q213" s="142">
        <f>SUM(Q206:Q212)</f>
        <v>0</v>
      </c>
      <c r="R213" s="143">
        <f>SUM(R206:R212)</f>
        <v>0.225107</v>
      </c>
      <c r="S213" s="143">
        <f>SUM(S206:S212)</f>
        <v>0.175707</v>
      </c>
      <c r="T213" s="129" t="s">
        <v>46</v>
      </c>
      <c r="U213" s="129"/>
      <c r="V213" s="144"/>
      <c r="W213" s="145"/>
      <c r="X213" s="130"/>
      <c r="Y213" s="11"/>
      <c r="AA213" s="1"/>
      <c r="AD213" s="11"/>
      <c r="AF213" s="1"/>
      <c r="AM213" s="18"/>
      <c r="AN213" s="19"/>
      <c r="AO213" s="19"/>
      <c r="AP213" s="19"/>
      <c r="AQ213" s="1"/>
      <c r="AR213" s="1"/>
      <c r="AS213" s="1"/>
      <c r="AT213" s="52"/>
    </row>
    <row r="214" spans="5:46" x14ac:dyDescent="0.25">
      <c r="E214" s="127" t="s">
        <v>63</v>
      </c>
      <c r="F214" s="171">
        <v>65429</v>
      </c>
      <c r="G214" s="112">
        <f t="shared" si="215"/>
        <v>317</v>
      </c>
      <c r="H214" s="171">
        <v>49468</v>
      </c>
      <c r="I214" s="112">
        <f t="shared" si="216"/>
        <v>16</v>
      </c>
      <c r="J214" s="112"/>
      <c r="K214" s="171">
        <v>48301</v>
      </c>
      <c r="L214" s="112">
        <f t="shared" si="217"/>
        <v>128</v>
      </c>
      <c r="N214" s="167">
        <f t="shared" si="213"/>
        <v>26.091999999999999</v>
      </c>
      <c r="Q214"/>
      <c r="R214" s="164"/>
      <c r="V214" s="123"/>
      <c r="W214" s="123"/>
      <c r="Y214" s="11"/>
      <c r="AA214" s="1"/>
      <c r="AD214" s="11"/>
      <c r="AF214" s="1"/>
      <c r="AM214" s="18"/>
      <c r="AN214" s="19"/>
      <c r="AO214" s="19"/>
      <c r="AP214" s="19"/>
      <c r="AQ214" s="1"/>
      <c r="AR214" s="1"/>
      <c r="AS214" s="1"/>
      <c r="AT214" s="52"/>
    </row>
    <row r="215" spans="5:46" ht="15" customHeight="1" x14ac:dyDescent="0.25">
      <c r="E215" s="127" t="s">
        <v>64</v>
      </c>
      <c r="F215" s="171">
        <v>65746</v>
      </c>
      <c r="G215" s="112">
        <f t="shared" ref="G215:G220" si="218">IF(F216&lt;&gt;0,F216-F215,"")</f>
        <v>203</v>
      </c>
      <c r="H215" s="171">
        <v>49484</v>
      </c>
      <c r="I215" s="112">
        <f t="shared" ref="I215:I220" si="219">IF(H216&lt;&gt;0,H216-H215,"")</f>
        <v>12</v>
      </c>
      <c r="J215" s="112"/>
      <c r="K215" s="171">
        <v>48429</v>
      </c>
      <c r="L215" s="112">
        <f t="shared" ref="L215:L220" si="220">IF(K216&lt;&gt;0,K216-K215,"")</f>
        <v>147</v>
      </c>
      <c r="N215" s="167">
        <f t="shared" si="213"/>
        <v>28.53</v>
      </c>
      <c r="Q215"/>
      <c r="R215" s="164"/>
      <c r="V215" s="123"/>
      <c r="W215" s="123"/>
      <c r="Y215" s="11"/>
      <c r="AA215" s="1"/>
      <c r="AD215" s="11"/>
      <c r="AF215" s="1"/>
      <c r="AM215" s="18"/>
      <c r="AN215" s="19"/>
      <c r="AO215" s="19"/>
      <c r="AP215" s="19"/>
      <c r="AQ215" s="1"/>
      <c r="AR215" s="1"/>
      <c r="AS215" s="1"/>
      <c r="AT215" s="52"/>
    </row>
    <row r="216" spans="5:46" x14ac:dyDescent="0.25">
      <c r="E216" s="127" t="s">
        <v>65</v>
      </c>
      <c r="F216" s="171">
        <v>65949</v>
      </c>
      <c r="G216" s="112">
        <f t="shared" si="218"/>
        <v>293</v>
      </c>
      <c r="H216" s="171">
        <v>49496</v>
      </c>
      <c r="I216" s="112">
        <f t="shared" si="219"/>
        <v>35</v>
      </c>
      <c r="J216" s="112"/>
      <c r="K216" s="171">
        <v>48576</v>
      </c>
      <c r="L216" s="112">
        <f t="shared" si="220"/>
        <v>109</v>
      </c>
      <c r="N216" s="167">
        <f t="shared" si="213"/>
        <v>27.030999999999999</v>
      </c>
      <c r="O216"/>
      <c r="P216" s="285"/>
      <c r="Q216" t="s">
        <v>90</v>
      </c>
      <c r="R216" s="164"/>
      <c r="Y216" s="11"/>
      <c r="AA216" s="1"/>
      <c r="AD216" s="11"/>
      <c r="AF216" s="1"/>
      <c r="AM216" s="18"/>
      <c r="AN216" s="19"/>
      <c r="AO216" s="19"/>
      <c r="AP216" s="19"/>
      <c r="AQ216" s="1"/>
      <c r="AR216" s="1"/>
      <c r="AS216" s="1"/>
      <c r="AT216" s="52"/>
    </row>
    <row r="217" spans="5:46" x14ac:dyDescent="0.25">
      <c r="E217" s="127" t="s">
        <v>66</v>
      </c>
      <c r="F217" s="171">
        <v>66242</v>
      </c>
      <c r="G217" s="112">
        <f t="shared" si="218"/>
        <v>155</v>
      </c>
      <c r="H217" s="171">
        <v>49531</v>
      </c>
      <c r="I217" s="112">
        <f t="shared" si="219"/>
        <v>5</v>
      </c>
      <c r="J217" s="112"/>
      <c r="K217" s="171">
        <v>48685</v>
      </c>
      <c r="L217" s="112">
        <f t="shared" si="220"/>
        <v>122</v>
      </c>
      <c r="N217" s="167">
        <f t="shared" si="213"/>
        <v>22.562000000000001</v>
      </c>
      <c r="Q217" t="s">
        <v>91</v>
      </c>
      <c r="R217" t="s">
        <v>92</v>
      </c>
      <c r="S217" s="165" t="s">
        <v>93</v>
      </c>
      <c r="Y217" s="11"/>
      <c r="AA217" s="1"/>
      <c r="AD217" s="11"/>
      <c r="AF217" s="1"/>
      <c r="AM217" s="18"/>
      <c r="AN217" s="19"/>
      <c r="AO217" s="19"/>
      <c r="AP217" s="19"/>
      <c r="AQ217" s="1"/>
      <c r="AR217" s="1"/>
      <c r="AS217" s="1"/>
      <c r="AT217" s="52"/>
    </row>
    <row r="218" spans="5:46" x14ac:dyDescent="0.25">
      <c r="E218" s="127" t="s">
        <v>67</v>
      </c>
      <c r="F218" s="171">
        <v>66397</v>
      </c>
      <c r="G218" s="112">
        <f t="shared" si="218"/>
        <v>81</v>
      </c>
      <c r="H218" s="171">
        <v>49536</v>
      </c>
      <c r="I218" s="112">
        <f t="shared" si="219"/>
        <v>-17</v>
      </c>
      <c r="J218" s="112"/>
      <c r="K218" s="171">
        <v>48807</v>
      </c>
      <c r="L218" s="112">
        <f t="shared" si="220"/>
        <v>74</v>
      </c>
      <c r="N218" s="167">
        <f t="shared" si="213"/>
        <v>9.1750000000000007</v>
      </c>
      <c r="Q218" s="1">
        <v>27671</v>
      </c>
      <c r="R218" s="1">
        <v>27581</v>
      </c>
      <c r="S218" s="1">
        <f>Q218-R218</f>
        <v>90</v>
      </c>
      <c r="T218" t="s">
        <v>17</v>
      </c>
      <c r="U218"/>
      <c r="Y218" s="11"/>
      <c r="AA218" s="1"/>
      <c r="AD218" s="11"/>
      <c r="AF218" s="1"/>
      <c r="AM218" s="18"/>
      <c r="AN218" s="19"/>
      <c r="AO218" s="19"/>
      <c r="AP218" s="19"/>
      <c r="AQ218" s="1"/>
      <c r="AR218" s="1"/>
      <c r="AS218" s="1"/>
      <c r="AT218" s="52"/>
    </row>
    <row r="219" spans="5:46" x14ac:dyDescent="0.25">
      <c r="E219" s="127" t="s">
        <v>68</v>
      </c>
      <c r="F219" s="171">
        <v>66478</v>
      </c>
      <c r="G219" s="112">
        <f t="shared" si="218"/>
        <v>12</v>
      </c>
      <c r="H219" s="171">
        <v>49519</v>
      </c>
      <c r="I219" s="112">
        <f t="shared" si="219"/>
        <v>-12</v>
      </c>
      <c r="J219" s="112"/>
      <c r="K219" s="171">
        <v>48881</v>
      </c>
      <c r="L219" s="112">
        <f t="shared" si="220"/>
        <v>55</v>
      </c>
      <c r="N219" s="167">
        <f t="shared" si="213"/>
        <v>6.9629999999999992</v>
      </c>
      <c r="Q219" s="1">
        <v>48903</v>
      </c>
      <c r="R219" s="1">
        <v>48949</v>
      </c>
      <c r="S219" s="1">
        <f t="shared" ref="S219:S220" si="221">Q219-R219</f>
        <v>-46</v>
      </c>
      <c r="T219" t="s">
        <v>94</v>
      </c>
      <c r="U219"/>
      <c r="Z219" s="11"/>
      <c r="AA219" s="1"/>
      <c r="AE219" s="11"/>
      <c r="AF219" s="1"/>
      <c r="AN219" s="18"/>
      <c r="AO219" s="18"/>
      <c r="AP219" s="18"/>
      <c r="AQ219" s="19"/>
      <c r="AR219" s="19"/>
      <c r="AS219" s="19"/>
      <c r="AT219" s="52"/>
    </row>
    <row r="220" spans="5:46" x14ac:dyDescent="0.25">
      <c r="E220" s="127" t="s">
        <v>69</v>
      </c>
      <c r="F220" s="171">
        <v>66490</v>
      </c>
      <c r="G220" s="112">
        <f t="shared" si="218"/>
        <v>0</v>
      </c>
      <c r="H220" s="171">
        <v>49507</v>
      </c>
      <c r="I220" s="112">
        <f t="shared" si="219"/>
        <v>-58</v>
      </c>
      <c r="J220" s="112"/>
      <c r="K220" s="171">
        <v>48936</v>
      </c>
      <c r="L220" s="112">
        <f t="shared" si="220"/>
        <v>36</v>
      </c>
      <c r="N220" s="167">
        <f t="shared" si="213"/>
        <v>-6.730999999999999</v>
      </c>
      <c r="Q220">
        <v>49460</v>
      </c>
      <c r="R220" s="1">
        <v>49466</v>
      </c>
      <c r="S220" s="1">
        <f t="shared" si="221"/>
        <v>-6</v>
      </c>
      <c r="T220" t="s">
        <v>30</v>
      </c>
      <c r="U220"/>
      <c r="Z220" s="11"/>
      <c r="AA220" s="1"/>
      <c r="AE220" s="11"/>
      <c r="AF220" s="1"/>
      <c r="AN220" s="18"/>
      <c r="AO220" s="18"/>
      <c r="AP220" s="18"/>
      <c r="AQ220" s="19"/>
      <c r="AR220" s="19"/>
      <c r="AS220" s="19"/>
      <c r="AT220" s="52"/>
    </row>
    <row r="221" spans="5:46" x14ac:dyDescent="0.25">
      <c r="E221" s="127" t="s">
        <v>71</v>
      </c>
      <c r="F221">
        <v>66490</v>
      </c>
      <c r="G221" s="112">
        <f t="shared" ref="G221:G224" si="222">IF(F222&lt;&gt;0,F222-F221,"")</f>
        <v>0</v>
      </c>
      <c r="H221">
        <v>49449</v>
      </c>
      <c r="I221" s="112">
        <f t="shared" ref="I221:I224" si="223">IF(H222&lt;&gt;0,H222-H221,"")</f>
        <v>-36</v>
      </c>
      <c r="J221" s="112"/>
      <c r="K221">
        <v>48972</v>
      </c>
      <c r="L221" s="112">
        <f t="shared" ref="L221:L224" si="224">IF(K222&lt;&gt;0,K222-K221,"")</f>
        <v>57</v>
      </c>
      <c r="N221" s="167">
        <f t="shared" ref="N221:N224" si="225">IF(L221&lt;&gt;"",ROUND(G221*ExclNuit,3)+ROUND(I221*Bi_Jour,3)+ROUND(L221*Bi_Nuit,3),"")</f>
        <v>1.9110000000000014</v>
      </c>
      <c r="Q221"/>
      <c r="R221" s="164"/>
      <c r="S221" s="1">
        <f>SUM(S218:S220)</f>
        <v>38</v>
      </c>
      <c r="T221" t="s">
        <v>95</v>
      </c>
      <c r="U221"/>
      <c r="Z221" s="11"/>
      <c r="AA221" s="1"/>
      <c r="AE221" s="11"/>
      <c r="AF221" s="1"/>
      <c r="AN221" s="18"/>
      <c r="AO221" s="18"/>
      <c r="AP221" s="18"/>
      <c r="AQ221" s="19"/>
      <c r="AR221" s="19"/>
      <c r="AS221" s="19"/>
      <c r="AT221" s="52"/>
    </row>
    <row r="222" spans="5:46" x14ac:dyDescent="0.25">
      <c r="E222" s="127" t="s">
        <v>72</v>
      </c>
      <c r="F222">
        <v>66490</v>
      </c>
      <c r="G222" s="112">
        <f t="shared" si="222"/>
        <v>0</v>
      </c>
      <c r="H222">
        <v>49413</v>
      </c>
      <c r="I222" s="112">
        <f t="shared" si="223"/>
        <v>-44</v>
      </c>
      <c r="J222" s="112"/>
      <c r="K222">
        <v>49029</v>
      </c>
      <c r="L222" s="112">
        <f t="shared" si="224"/>
        <v>29</v>
      </c>
      <c r="N222" s="167">
        <f t="shared" si="225"/>
        <v>-4.8089999999999993</v>
      </c>
      <c r="Q222"/>
      <c r="R222" s="164"/>
      <c r="T222" t="s">
        <v>98</v>
      </c>
      <c r="U222"/>
      <c r="Z222" s="11"/>
      <c r="AA222" s="1"/>
      <c r="AE222" s="11"/>
      <c r="AF222" s="1"/>
      <c r="AN222" s="18"/>
      <c r="AO222" s="18"/>
      <c r="AP222" s="18"/>
      <c r="AQ222" s="19"/>
      <c r="AR222" s="19"/>
      <c r="AS222" s="19"/>
      <c r="AT222" s="52"/>
    </row>
    <row r="223" spans="5:46" x14ac:dyDescent="0.25">
      <c r="E223" s="127" t="s">
        <v>73</v>
      </c>
      <c r="F223">
        <v>66490</v>
      </c>
      <c r="G223" s="112">
        <f t="shared" ref="G223" si="226">IF(F224&lt;&gt;0,F224-F223,"")</f>
        <v>0</v>
      </c>
      <c r="H223">
        <v>49369</v>
      </c>
      <c r="I223" s="112">
        <f t="shared" ref="I223" si="227">IF(H224&lt;&gt;0,H224-H223,"")</f>
        <v>-58</v>
      </c>
      <c r="J223" s="112"/>
      <c r="K223">
        <v>49058</v>
      </c>
      <c r="L223" s="112">
        <f t="shared" si="224"/>
        <v>52</v>
      </c>
      <c r="N223" s="167">
        <f t="shared" si="225"/>
        <v>-3.9189999999999987</v>
      </c>
      <c r="O223"/>
      <c r="P223" s="285"/>
      <c r="Q223"/>
      <c r="R223" s="164"/>
      <c r="T223" t="s">
        <v>96</v>
      </c>
      <c r="U223"/>
      <c r="Z223" s="11"/>
      <c r="AA223" s="1"/>
      <c r="AE223" s="11"/>
      <c r="AF223" s="1"/>
      <c r="AN223" s="18"/>
      <c r="AO223" s="18"/>
      <c r="AP223" s="18"/>
      <c r="AQ223" s="19"/>
      <c r="AR223" s="19"/>
      <c r="AS223" s="19"/>
      <c r="AT223" s="52"/>
    </row>
    <row r="224" spans="5:46" x14ac:dyDescent="0.25">
      <c r="E224" s="127" t="s">
        <v>74</v>
      </c>
      <c r="F224">
        <v>66490</v>
      </c>
      <c r="G224" s="112">
        <f t="shared" si="222"/>
        <v>0</v>
      </c>
      <c r="H224">
        <v>49311</v>
      </c>
      <c r="I224" s="112">
        <f t="shared" si="223"/>
        <v>-43</v>
      </c>
      <c r="J224" s="112"/>
      <c r="K224">
        <v>49110</v>
      </c>
      <c r="L224" s="112">
        <f t="shared" si="224"/>
        <v>39</v>
      </c>
      <c r="N224" s="167">
        <f t="shared" si="225"/>
        <v>-2.827</v>
      </c>
      <c r="Q224" s="165"/>
      <c r="S224" s="165"/>
      <c r="T224" t="s">
        <v>97</v>
      </c>
      <c r="U224"/>
      <c r="Z224" s="11"/>
      <c r="AA224" s="1"/>
      <c r="AE224" s="11"/>
      <c r="AF224" s="1"/>
      <c r="AN224" s="18"/>
      <c r="AO224" s="18"/>
      <c r="AP224" s="18"/>
      <c r="AQ224" s="19"/>
      <c r="AR224" s="19"/>
      <c r="AS224" s="19"/>
      <c r="AT224" s="52"/>
    </row>
    <row r="225" spans="5:46" x14ac:dyDescent="0.25">
      <c r="E225" s="127" t="s">
        <v>75</v>
      </c>
      <c r="F225">
        <v>66490</v>
      </c>
      <c r="G225" s="112">
        <f t="shared" ref="G225" si="228">IF(F226&lt;&gt;0,F226-F225,"")</f>
        <v>0</v>
      </c>
      <c r="H225">
        <v>49268</v>
      </c>
      <c r="I225" s="112">
        <f t="shared" ref="I225" si="229">IF(H226&lt;&gt;0,H226-H225,"")</f>
        <v>-27</v>
      </c>
      <c r="J225" s="112"/>
      <c r="K225">
        <v>49149</v>
      </c>
      <c r="L225" s="112">
        <f t="shared" ref="L225" si="230">IF(K226&lt;&gt;0,K226-K225,"")</f>
        <v>58</v>
      </c>
      <c r="N225" s="167">
        <f t="shared" ref="N225" si="231">IF(L225&lt;&gt;"",ROUND(G225*ExclNuit,3)+ROUND(I225*Bi_Jour,3)+ROUND(L225*Bi_Nuit,3),"")</f>
        <v>4.1130000000000004</v>
      </c>
      <c r="Z225" s="11"/>
      <c r="AA225" s="1"/>
      <c r="AE225" s="11"/>
      <c r="AF225" s="1"/>
      <c r="AN225" s="18"/>
      <c r="AO225" s="18"/>
      <c r="AP225" s="18"/>
      <c r="AQ225" s="19"/>
      <c r="AR225" s="19"/>
      <c r="AS225" s="19"/>
      <c r="AT225" s="52"/>
    </row>
    <row r="226" spans="5:46" x14ac:dyDescent="0.25">
      <c r="E226" s="127" t="s">
        <v>76</v>
      </c>
      <c r="F226">
        <v>66490</v>
      </c>
      <c r="G226" s="112">
        <f t="shared" ref="G226" si="232">IF(F227&lt;&gt;0,F227-F226,"")</f>
        <v>0</v>
      </c>
      <c r="H226">
        <v>49241</v>
      </c>
      <c r="I226" s="112">
        <f t="shared" ref="I226" si="233">IF(H227&lt;&gt;0,H227-H226,"")</f>
        <v>-12</v>
      </c>
      <c r="J226" s="112"/>
      <c r="K226">
        <v>49207</v>
      </c>
      <c r="L226" s="112">
        <f t="shared" ref="L226" si="234">IF(K227&lt;&gt;0,K227-K226,"")</f>
        <v>41</v>
      </c>
      <c r="N226" s="167">
        <f t="shared" ref="N226" si="235">IF(L226&lt;&gt;"",ROUND(G226*ExclNuit,3)+ROUND(I226*Bi_Jour,3)+ROUND(L226*Bi_Nuit,3),"")</f>
        <v>4.5030000000000001</v>
      </c>
      <c r="Z226" s="11"/>
      <c r="AA226" s="1"/>
      <c r="AE226" s="11"/>
      <c r="AF226" s="1"/>
      <c r="AN226" s="18"/>
      <c r="AO226" s="18"/>
      <c r="AP226" s="18"/>
      <c r="AQ226" s="19"/>
      <c r="AR226" s="19"/>
      <c r="AS226" s="19"/>
      <c r="AT226" s="52"/>
    </row>
    <row r="227" spans="5:46" x14ac:dyDescent="0.25">
      <c r="E227" s="127" t="s">
        <v>82</v>
      </c>
      <c r="F227">
        <v>66490</v>
      </c>
      <c r="G227" s="112">
        <f t="shared" ref="G227" si="236">IF(F228&lt;&gt;0,F228-F227,"")</f>
        <v>0</v>
      </c>
      <c r="H227">
        <v>49229</v>
      </c>
      <c r="I227" s="112">
        <f t="shared" ref="I227" si="237">IF(H228&lt;&gt;0,H228-H227,"")</f>
        <v>-62</v>
      </c>
      <c r="J227" s="112"/>
      <c r="K227">
        <v>49248</v>
      </c>
      <c r="L227" s="112">
        <f t="shared" ref="L227" si="238">IF(K228&lt;&gt;0,K228-K227,"")</f>
        <v>52</v>
      </c>
      <c r="N227" s="167">
        <f t="shared" ref="N227" si="239">IF(L227&lt;&gt;"",ROUND(G227*ExclNuit,3)+ROUND(I227*Bi_Jour,3)+ROUND(L227*Bi_Nuit,3),"")</f>
        <v>-4.82</v>
      </c>
      <c r="Z227" s="11"/>
      <c r="AA227" s="1"/>
      <c r="AE227" s="11"/>
      <c r="AF227" s="1"/>
      <c r="AN227" s="18"/>
      <c r="AO227" s="18"/>
      <c r="AP227" s="18"/>
      <c r="AQ227" s="19"/>
      <c r="AR227" s="19"/>
      <c r="AS227" s="19"/>
      <c r="AT227" s="52"/>
    </row>
    <row r="228" spans="5:46" x14ac:dyDescent="0.25">
      <c r="E228" s="127" t="s">
        <v>83</v>
      </c>
      <c r="F228">
        <v>66490</v>
      </c>
      <c r="G228" s="112">
        <f t="shared" ref="G228" si="240">IF(F229&lt;&gt;0,F229-F228,"")</f>
        <v>0</v>
      </c>
      <c r="H228">
        <v>49167</v>
      </c>
      <c r="I228" s="112">
        <f t="shared" ref="I228" si="241">IF(H229&lt;&gt;0,H229-H228,"")</f>
        <v>-11</v>
      </c>
      <c r="J228" s="112"/>
      <c r="K228">
        <v>49300</v>
      </c>
      <c r="L228" s="112">
        <f t="shared" ref="L228" si="242">IF(K229&lt;&gt;0,K229-K228,"")</f>
        <v>30</v>
      </c>
      <c r="N228" s="167">
        <f t="shared" ref="N228" si="243">IF(L228&lt;&gt;"",ROUND(G228*ExclNuit,3)+ROUND(I228*Bi_Jour,3)+ROUND(L228*Bi_Nuit,3),"")</f>
        <v>2.7949999999999999</v>
      </c>
      <c r="Z228" s="11"/>
      <c r="AA228" s="1"/>
      <c r="AE228" s="11"/>
      <c r="AF228" s="1"/>
      <c r="AN228" s="18"/>
      <c r="AO228" s="18"/>
      <c r="AP228" s="18"/>
      <c r="AQ228" s="19"/>
      <c r="AR228" s="19"/>
      <c r="AS228" s="19"/>
      <c r="AT228" s="52"/>
    </row>
    <row r="229" spans="5:46" x14ac:dyDescent="0.25">
      <c r="E229" s="127" t="s">
        <v>84</v>
      </c>
      <c r="F229">
        <v>66490</v>
      </c>
      <c r="G229" s="112">
        <f t="shared" ref="G229" si="244">IF(F230&lt;&gt;0,F230-F229,"")</f>
        <v>0</v>
      </c>
      <c r="H229">
        <v>49156</v>
      </c>
      <c r="I229" s="112">
        <f t="shared" ref="I229" si="245">IF(H230&lt;&gt;0,H230-H229,"")</f>
        <v>-64</v>
      </c>
      <c r="J229" s="112"/>
      <c r="K229">
        <v>49330</v>
      </c>
      <c r="L229" s="112">
        <f t="shared" ref="L229" si="246">IF(K230&lt;&gt;0,K230-K229,"")</f>
        <v>12</v>
      </c>
      <c r="N229" s="167">
        <f t="shared" ref="N229" si="247">IF(L229&lt;&gt;"",ROUND(G229*ExclNuit,3)+ROUND(I229*Bi_Jour,3)+ROUND(L229*Bi_Nuit,3),"")</f>
        <v>-12.298999999999999</v>
      </c>
      <c r="Z229" s="11"/>
      <c r="AA229" s="1"/>
      <c r="AE229" s="11"/>
      <c r="AF229" s="1"/>
      <c r="AN229" s="18"/>
      <c r="AO229" s="18"/>
      <c r="AP229" s="18"/>
      <c r="AQ229" s="19"/>
      <c r="AR229" s="19"/>
      <c r="AS229" s="19"/>
      <c r="AT229" s="52"/>
    </row>
    <row r="230" spans="5:46" x14ac:dyDescent="0.25">
      <c r="E230" s="127" t="s">
        <v>85</v>
      </c>
      <c r="F230">
        <v>66490</v>
      </c>
      <c r="G230" s="112">
        <f t="shared" ref="G230:G231" si="248">IF(F231&lt;&gt;0,F231-F230,"")</f>
        <v>0</v>
      </c>
      <c r="H230">
        <v>49092</v>
      </c>
      <c r="I230" s="112">
        <f t="shared" ref="I230:I231" si="249">IF(H231&lt;&gt;0,H231-H230,"")</f>
        <v>-79</v>
      </c>
      <c r="J230" s="112"/>
      <c r="K230">
        <v>49342</v>
      </c>
      <c r="L230" s="112">
        <f t="shared" ref="L230:L231" si="250">IF(K231&lt;&gt;0,K231-K230,"")</f>
        <v>72</v>
      </c>
      <c r="N230" s="167">
        <f t="shared" ref="N230:N232" si="251">IF(L230&lt;&gt;"",ROUND(G230*ExclNuit,3)+ROUND(I230*Bi_Jour,3)+ROUND(L230*Bi_Nuit,3),"")</f>
        <v>-5.1320000000000014</v>
      </c>
      <c r="Z230" s="11"/>
      <c r="AA230" s="1"/>
      <c r="AE230" s="11"/>
      <c r="AF230" s="1"/>
      <c r="AN230" s="18"/>
      <c r="AO230" s="18"/>
      <c r="AP230" s="18"/>
      <c r="AQ230" s="19"/>
      <c r="AR230" s="19"/>
      <c r="AS230" s="19"/>
      <c r="AT230" s="52"/>
    </row>
    <row r="231" spans="5:46" x14ac:dyDescent="0.25">
      <c r="E231" s="127" t="s">
        <v>87</v>
      </c>
      <c r="F231">
        <v>66490</v>
      </c>
      <c r="G231" s="112" t="str">
        <f t="shared" si="248"/>
        <v/>
      </c>
      <c r="H231">
        <v>49013</v>
      </c>
      <c r="I231" s="112" t="str">
        <f t="shared" si="249"/>
        <v/>
      </c>
      <c r="J231" s="112"/>
      <c r="K231">
        <v>49414</v>
      </c>
      <c r="L231" s="112" t="str">
        <f t="shared" si="250"/>
        <v/>
      </c>
      <c r="N231" s="167" t="str">
        <f t="shared" si="251"/>
        <v/>
      </c>
      <c r="Z231" s="11"/>
      <c r="AA231" s="1"/>
      <c r="AE231" s="11"/>
      <c r="AF231" s="1"/>
      <c r="AN231" s="18"/>
      <c r="AO231" s="18"/>
      <c r="AP231" s="18"/>
      <c r="AQ231" s="19"/>
      <c r="AR231" s="19"/>
      <c r="AS231" s="19"/>
      <c r="AT231" s="52"/>
    </row>
    <row r="232" spans="5:46" x14ac:dyDescent="0.25">
      <c r="E232" s="127" t="s">
        <v>86</v>
      </c>
      <c r="F232"/>
      <c r="G232" s="112" t="str">
        <f>IF(F237&lt;&gt;0,F237-F232,"")</f>
        <v/>
      </c>
      <c r="H232"/>
      <c r="I232" s="112" t="str">
        <f>IF(H237&lt;&gt;0,H237-H232,"")</f>
        <v/>
      </c>
      <c r="J232" s="112"/>
      <c r="K232"/>
      <c r="L232" s="112" t="str">
        <f>IF(K237&lt;&gt;0,K237-K232,"")</f>
        <v/>
      </c>
      <c r="N232" s="167" t="str">
        <f t="shared" si="251"/>
        <v/>
      </c>
      <c r="Z232" s="11"/>
      <c r="AA232" s="1"/>
      <c r="AE232" s="11"/>
      <c r="AF232" s="1"/>
      <c r="AN232" s="18"/>
      <c r="AO232" s="18"/>
      <c r="AP232" s="18"/>
      <c r="AQ232" s="19"/>
      <c r="AR232" s="19"/>
      <c r="AS232" s="19"/>
      <c r="AT232" s="52"/>
    </row>
    <row r="233" spans="5:46" x14ac:dyDescent="0.25">
      <c r="E233" s="127" t="s">
        <v>87</v>
      </c>
      <c r="F233"/>
      <c r="G233" s="112"/>
      <c r="H233"/>
      <c r="I233" s="112"/>
      <c r="J233" s="112"/>
      <c r="K233"/>
      <c r="L233" s="112"/>
      <c r="N233" s="167"/>
      <c r="Z233" s="11"/>
      <c r="AA233" s="1"/>
      <c r="AE233" s="11"/>
      <c r="AF233" s="1"/>
      <c r="AN233" s="18"/>
      <c r="AO233" s="18"/>
      <c r="AP233" s="18"/>
      <c r="AQ233" s="19"/>
      <c r="AR233" s="19"/>
      <c r="AS233" s="19"/>
      <c r="AT233" s="52"/>
    </row>
    <row r="234" spans="5:46" x14ac:dyDescent="0.25">
      <c r="F234"/>
      <c r="G234" s="112"/>
      <c r="H234"/>
      <c r="I234" s="112"/>
      <c r="J234" s="112"/>
      <c r="K234"/>
      <c r="L234" s="112"/>
      <c r="N234" s="167"/>
      <c r="Z234" s="11"/>
      <c r="AA234" s="1"/>
      <c r="AE234" s="11"/>
      <c r="AF234" s="1"/>
      <c r="AN234" s="18"/>
      <c r="AO234" s="18"/>
      <c r="AP234" s="18"/>
      <c r="AQ234" s="19"/>
      <c r="AR234" s="19"/>
      <c r="AS234" s="19"/>
      <c r="AT234" s="52"/>
    </row>
    <row r="235" spans="5:46" x14ac:dyDescent="0.25">
      <c r="E235" s="127"/>
      <c r="F235"/>
      <c r="G235" s="112"/>
      <c r="H235"/>
      <c r="I235" s="112"/>
      <c r="J235" s="112"/>
      <c r="K235"/>
      <c r="L235" s="112"/>
      <c r="N235" s="167"/>
      <c r="Z235" s="11"/>
      <c r="AA235" s="1"/>
      <c r="AE235" s="11"/>
      <c r="AF235" s="1"/>
      <c r="AN235" s="18"/>
      <c r="AO235" s="18"/>
      <c r="AP235" s="18"/>
      <c r="AQ235" s="19"/>
      <c r="AR235" s="19"/>
      <c r="AS235" s="19"/>
      <c r="AT235" s="52"/>
    </row>
    <row r="236" spans="5:46" x14ac:dyDescent="0.25">
      <c r="E236" s="127"/>
      <c r="F236"/>
      <c r="G236" s="112"/>
      <c r="H236"/>
      <c r="I236" s="112"/>
      <c r="J236" s="112"/>
      <c r="K236"/>
      <c r="L236" s="112"/>
      <c r="N236" s="167"/>
      <c r="Z236" s="11"/>
      <c r="AA236" s="1"/>
      <c r="AE236" s="11"/>
      <c r="AF236" s="1"/>
      <c r="AN236" s="18"/>
      <c r="AO236" s="18"/>
      <c r="AP236" s="18"/>
      <c r="AQ236" s="19"/>
      <c r="AR236" s="19"/>
      <c r="AS236" s="19"/>
      <c r="AT236" s="52"/>
    </row>
    <row r="237" spans="5:46" x14ac:dyDescent="0.25">
      <c r="E237" s="168"/>
      <c r="N237" s="128"/>
      <c r="Z237" s="11"/>
      <c r="AA237" s="1"/>
      <c r="AE237" s="11"/>
      <c r="AF237" s="1"/>
      <c r="AN237" s="18"/>
      <c r="AO237" s="18"/>
      <c r="AP237" s="18"/>
      <c r="AQ237" s="19"/>
      <c r="AR237" s="19"/>
      <c r="AS237" s="19"/>
      <c r="AT237" s="52"/>
    </row>
    <row r="238" spans="5:46" x14ac:dyDescent="0.25">
      <c r="E238" s="169"/>
      <c r="F238" s="145"/>
      <c r="G238" s="145"/>
      <c r="H238" s="170"/>
      <c r="I238" s="145"/>
      <c r="J238" s="145"/>
      <c r="K238" s="145"/>
      <c r="L238" s="145"/>
      <c r="M238" s="145"/>
      <c r="N238" s="130"/>
      <c r="Q238"/>
      <c r="R238" s="164"/>
    </row>
    <row r="239" spans="5:46" x14ac:dyDescent="0.25">
      <c r="R239"/>
      <c r="S239" s="164"/>
    </row>
    <row r="240" spans="5:46" x14ac:dyDescent="0.25">
      <c r="R240"/>
      <c r="S240" s="164"/>
    </row>
    <row r="241" spans="17:21" x14ac:dyDescent="0.25">
      <c r="Q241"/>
      <c r="R241" s="165"/>
      <c r="T241" s="165"/>
      <c r="U241" s="165"/>
    </row>
    <row r="242" spans="17:21" x14ac:dyDescent="0.25">
      <c r="R242"/>
    </row>
    <row r="243" spans="17:21" x14ac:dyDescent="0.25">
      <c r="R243"/>
      <c r="S243"/>
      <c r="T243"/>
      <c r="U243"/>
    </row>
    <row r="244" spans="17:21" x14ac:dyDescent="0.25">
      <c r="R244"/>
      <c r="T244"/>
      <c r="U244"/>
    </row>
    <row r="245" spans="17:21" x14ac:dyDescent="0.25">
      <c r="R245"/>
    </row>
    <row r="246" spans="17:21" x14ac:dyDescent="0.25">
      <c r="R246"/>
      <c r="T246"/>
      <c r="U246"/>
    </row>
    <row r="247" spans="17:21" x14ac:dyDescent="0.25">
      <c r="R247"/>
      <c r="T247"/>
      <c r="U247"/>
    </row>
    <row r="249" spans="17:21" x14ac:dyDescent="0.25">
      <c r="R249"/>
      <c r="T249"/>
      <c r="U249"/>
    </row>
    <row r="250" spans="17:21" x14ac:dyDescent="0.25">
      <c r="R250"/>
      <c r="S250" s="165"/>
      <c r="T250" s="165"/>
      <c r="U250" s="165"/>
    </row>
    <row r="252" spans="17:21" x14ac:dyDescent="0.25">
      <c r="R252"/>
    </row>
  </sheetData>
  <mergeCells count="5">
    <mergeCell ref="AL197:AN197"/>
    <mergeCell ref="Q195:V195"/>
    <mergeCell ref="D164:F164"/>
    <mergeCell ref="D166:F166"/>
    <mergeCell ref="D174:E17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F399-EF5B-4146-B566-05DE23865B0F}">
  <dimension ref="A1:T36"/>
  <sheetViews>
    <sheetView topLeftCell="A13" zoomScale="115" zoomScaleNormal="115" workbookViewId="0">
      <selection activeCell="A35" sqref="A35:XFD36"/>
    </sheetView>
  </sheetViews>
  <sheetFormatPr baseColWidth="10" defaultRowHeight="15" x14ac:dyDescent="0.25"/>
  <cols>
    <col min="2" max="2" width="11.42578125" style="240"/>
    <col min="4" max="4" width="12.5703125" style="222" bestFit="1" customWidth="1"/>
    <col min="6" max="6" width="11.42578125" style="222"/>
    <col min="8" max="9" width="11.42578125" style="222"/>
    <col min="11" max="11" width="11.42578125" style="222"/>
    <col min="13" max="13" width="11.42578125" style="222"/>
    <col min="14" max="14" width="11.42578125" style="227"/>
    <col min="16" max="16" width="11.42578125" style="236"/>
    <col min="17" max="17" width="8.7109375" style="150" customWidth="1"/>
    <col min="18" max="19" width="8.7109375" style="242" customWidth="1"/>
  </cols>
  <sheetData>
    <row r="1" spans="1:20" ht="15.75" thickBot="1" x14ac:dyDescent="0.3"/>
    <row r="2" spans="1:20" x14ac:dyDescent="0.25">
      <c r="C2" s="124" t="s">
        <v>100</v>
      </c>
      <c r="D2" s="223"/>
      <c r="E2" s="124" t="s">
        <v>32</v>
      </c>
      <c r="F2" s="223"/>
      <c r="G2" s="124" t="s">
        <v>101</v>
      </c>
      <c r="H2" s="225"/>
      <c r="I2" s="233" t="s">
        <v>108</v>
      </c>
      <c r="J2" s="228" t="s">
        <v>102</v>
      </c>
      <c r="K2" s="223"/>
      <c r="L2" s="124" t="s">
        <v>103</v>
      </c>
      <c r="M2" s="225"/>
      <c r="N2" s="233" t="s">
        <v>107</v>
      </c>
      <c r="O2" s="228" t="s">
        <v>104</v>
      </c>
      <c r="P2" s="237"/>
      <c r="Q2" s="234" t="s">
        <v>109</v>
      </c>
      <c r="R2" s="241" t="s">
        <v>113</v>
      </c>
      <c r="S2" s="241" t="s">
        <v>114</v>
      </c>
      <c r="T2" t="s">
        <v>110</v>
      </c>
    </row>
    <row r="3" spans="1:20" x14ac:dyDescent="0.25">
      <c r="C3" s="127"/>
      <c r="D3" s="224"/>
      <c r="E3" s="127"/>
      <c r="F3" s="224"/>
      <c r="G3" s="127"/>
      <c r="H3" s="226"/>
      <c r="I3" s="230"/>
      <c r="J3" s="229"/>
      <c r="K3" s="224"/>
      <c r="L3" s="127"/>
      <c r="M3" s="226"/>
      <c r="N3" s="231"/>
      <c r="O3" s="229"/>
      <c r="P3" s="238"/>
      <c r="Q3" s="232"/>
      <c r="R3" s="241"/>
      <c r="S3" s="241"/>
    </row>
    <row r="4" spans="1:20" x14ac:dyDescent="0.25">
      <c r="A4" s="221">
        <v>43786</v>
      </c>
      <c r="B4" s="240" t="s">
        <v>105</v>
      </c>
      <c r="C4" s="127">
        <v>74418</v>
      </c>
      <c r="D4" s="224"/>
      <c r="E4" s="127">
        <v>48630</v>
      </c>
      <c r="F4" s="224"/>
      <c r="G4" s="127">
        <v>53922</v>
      </c>
      <c r="H4" s="226"/>
      <c r="I4" s="230"/>
      <c r="J4" s="229">
        <v>16441</v>
      </c>
      <c r="K4" s="224"/>
      <c r="L4" s="127">
        <v>51813</v>
      </c>
      <c r="M4" s="226"/>
      <c r="N4" s="231"/>
      <c r="O4" s="229">
        <v>48712</v>
      </c>
      <c r="P4" s="238"/>
      <c r="Q4" s="232"/>
      <c r="R4" s="241"/>
      <c r="S4" s="241"/>
      <c r="T4" t="str">
        <f>IF(Q4&lt;&gt;"",150*Q4,"")</f>
        <v/>
      </c>
    </row>
    <row r="5" spans="1:20" x14ac:dyDescent="0.25">
      <c r="A5" s="221">
        <v>43787</v>
      </c>
      <c r="B5" s="240" t="s">
        <v>106</v>
      </c>
      <c r="C5" s="127">
        <v>74466</v>
      </c>
      <c r="D5" s="224">
        <f>IF(C5&lt;&gt;"",C5-C4,"")</f>
        <v>48</v>
      </c>
      <c r="E5" s="127">
        <v>48633</v>
      </c>
      <c r="F5" s="224">
        <f>IF(E5&lt;&gt;"",E5-E4,"")</f>
        <v>3</v>
      </c>
      <c r="G5" s="127">
        <v>53934</v>
      </c>
      <c r="H5" s="226">
        <f>IF(G5&lt;&gt;"",G5-G4,"")</f>
        <v>12</v>
      </c>
      <c r="I5" s="231">
        <f>IF(F5&lt;&gt;"",D5+F5+H5,"")</f>
        <v>63</v>
      </c>
      <c r="J5" s="229">
        <v>16441</v>
      </c>
      <c r="K5" s="224">
        <f>IF(J5&lt;&gt;"",J5-J4,"")</f>
        <v>0</v>
      </c>
      <c r="L5" s="127">
        <v>51843</v>
      </c>
      <c r="M5" s="226">
        <f>IF(L5&lt;&gt;"",L5-L4,"")</f>
        <v>30</v>
      </c>
      <c r="N5" s="231">
        <f>IF(K5&lt;&gt;"",K5+M5,"")</f>
        <v>30</v>
      </c>
      <c r="O5" s="229">
        <v>48725</v>
      </c>
      <c r="P5" s="238">
        <f>IF(O5&lt;&gt;"",O5-O4,"")</f>
        <v>13</v>
      </c>
      <c r="Q5" s="232">
        <f>IF(D5&lt;&gt;"",D5+F5+H5+K5+M5,"")</f>
        <v>93</v>
      </c>
      <c r="R5" s="241">
        <f>F5+K5</f>
        <v>3</v>
      </c>
      <c r="S5" s="241">
        <f>D5+H5+M5</f>
        <v>90</v>
      </c>
      <c r="T5">
        <f t="shared" ref="T5:T23" si="0">IF(Q5&lt;&gt;"",150*Q5,"")</f>
        <v>13950</v>
      </c>
    </row>
    <row r="6" spans="1:20" x14ac:dyDescent="0.25">
      <c r="A6" s="221">
        <v>43788</v>
      </c>
      <c r="C6" s="127">
        <v>74511</v>
      </c>
      <c r="D6" s="224">
        <f t="shared" ref="D6:F22" si="1">IF(C6&lt;&gt;"",C6-C5,"")</f>
        <v>45</v>
      </c>
      <c r="E6" s="127">
        <v>48663</v>
      </c>
      <c r="F6" s="224">
        <f t="shared" si="1"/>
        <v>30</v>
      </c>
      <c r="G6" s="127">
        <v>53935</v>
      </c>
      <c r="H6" s="226">
        <f t="shared" ref="H6" si="2">IF(G6&lt;&gt;"",G6-G5,"")</f>
        <v>1</v>
      </c>
      <c r="I6" s="231">
        <f t="shared" ref="I6:I23" si="3">IF(F6&lt;&gt;"",D6+F6+H6,"")</f>
        <v>76</v>
      </c>
      <c r="J6" s="229">
        <v>16452</v>
      </c>
      <c r="K6" s="224">
        <f t="shared" ref="K6" si="4">IF(J6&lt;&gt;"",J6-J5,"")</f>
        <v>11</v>
      </c>
      <c r="L6" s="127">
        <v>51875</v>
      </c>
      <c r="M6" s="226">
        <f t="shared" ref="M6" si="5">IF(L6&lt;&gt;"",L6-L5,"")</f>
        <v>32</v>
      </c>
      <c r="N6" s="231">
        <f t="shared" ref="N6:N23" si="6">IF(K6&lt;&gt;"",K6+M6,"")</f>
        <v>43</v>
      </c>
      <c r="O6" s="229">
        <v>48748</v>
      </c>
      <c r="P6" s="238">
        <f t="shared" ref="P6" si="7">IF(O6&lt;&gt;"",O6-O5,"")</f>
        <v>23</v>
      </c>
      <c r="Q6" s="232">
        <f t="shared" ref="Q6:Q23" si="8">IF(D6&lt;&gt;"",D6+F6+H6+K6+M6,"")</f>
        <v>119</v>
      </c>
      <c r="R6" s="241">
        <f t="shared" ref="R6:R23" si="9">F6+K6</f>
        <v>41</v>
      </c>
      <c r="S6" s="241">
        <f t="shared" ref="S6:S23" si="10">D6+H6+M6</f>
        <v>78</v>
      </c>
      <c r="T6">
        <f t="shared" si="0"/>
        <v>17850</v>
      </c>
    </row>
    <row r="7" spans="1:20" x14ac:dyDescent="0.25">
      <c r="A7" s="221">
        <v>43789</v>
      </c>
      <c r="C7" s="127">
        <v>74559</v>
      </c>
      <c r="D7" s="224">
        <f t="shared" si="1"/>
        <v>48</v>
      </c>
      <c r="E7" s="127">
        <v>48664</v>
      </c>
      <c r="F7" s="224">
        <f t="shared" si="1"/>
        <v>1</v>
      </c>
      <c r="G7" s="127">
        <v>53951</v>
      </c>
      <c r="H7" s="226">
        <f t="shared" ref="H7" si="11">IF(G7&lt;&gt;"",G7-G6,"")</f>
        <v>16</v>
      </c>
      <c r="I7" s="231">
        <f t="shared" si="3"/>
        <v>65</v>
      </c>
      <c r="J7" s="235">
        <v>16459</v>
      </c>
      <c r="K7" s="224">
        <f t="shared" ref="K7" si="12">IF(J7&lt;&gt;"",J7-J6,"")</f>
        <v>7</v>
      </c>
      <c r="L7" s="127">
        <v>51908</v>
      </c>
      <c r="M7" s="226">
        <f t="shared" ref="M7" si="13">IF(L7&lt;&gt;"",L7-L6,"")</f>
        <v>33</v>
      </c>
      <c r="N7" s="231">
        <f t="shared" si="6"/>
        <v>40</v>
      </c>
      <c r="O7" s="235">
        <v>48768</v>
      </c>
      <c r="P7" s="238">
        <f t="shared" ref="P7" si="14">IF(O7&lt;&gt;"",O7-O6,"")</f>
        <v>20</v>
      </c>
      <c r="Q7" s="232">
        <f t="shared" si="8"/>
        <v>105</v>
      </c>
      <c r="R7" s="241">
        <f t="shared" si="9"/>
        <v>8</v>
      </c>
      <c r="S7" s="241">
        <f t="shared" si="10"/>
        <v>97</v>
      </c>
      <c r="T7">
        <f t="shared" si="0"/>
        <v>15750</v>
      </c>
    </row>
    <row r="8" spans="1:20" x14ac:dyDescent="0.25">
      <c r="A8" s="221">
        <v>43790</v>
      </c>
      <c r="C8" s="127">
        <v>74608</v>
      </c>
      <c r="D8" s="224">
        <f t="shared" si="1"/>
        <v>49</v>
      </c>
      <c r="E8" s="127">
        <v>48665</v>
      </c>
      <c r="F8" s="224">
        <f t="shared" si="1"/>
        <v>1</v>
      </c>
      <c r="G8" s="127">
        <v>53971</v>
      </c>
      <c r="H8" s="226">
        <f t="shared" ref="H8" si="15">IF(G8&lt;&gt;"",G8-G7,"")</f>
        <v>20</v>
      </c>
      <c r="I8" s="231">
        <f t="shared" si="3"/>
        <v>70</v>
      </c>
      <c r="J8" s="235">
        <v>16464</v>
      </c>
      <c r="K8" s="224">
        <f t="shared" ref="K8" si="16">IF(J8&lt;&gt;"",J8-J7,"")</f>
        <v>5</v>
      </c>
      <c r="L8" s="127">
        <v>51938</v>
      </c>
      <c r="M8" s="226">
        <f t="shared" ref="M8" si="17">IF(L8&lt;&gt;"",L8-L7,"")</f>
        <v>30</v>
      </c>
      <c r="N8" s="231">
        <f t="shared" si="6"/>
        <v>35</v>
      </c>
      <c r="O8" s="235">
        <v>48787</v>
      </c>
      <c r="P8" s="238">
        <f t="shared" ref="P8" si="18">IF(O8&lt;&gt;"",O8-O7,"")</f>
        <v>19</v>
      </c>
      <c r="Q8" s="232">
        <f t="shared" si="8"/>
        <v>105</v>
      </c>
      <c r="R8" s="241">
        <f t="shared" si="9"/>
        <v>6</v>
      </c>
      <c r="S8" s="241">
        <f t="shared" si="10"/>
        <v>99</v>
      </c>
      <c r="T8">
        <f t="shared" si="0"/>
        <v>15750</v>
      </c>
    </row>
    <row r="9" spans="1:20" x14ac:dyDescent="0.25">
      <c r="A9" s="221">
        <v>43791</v>
      </c>
      <c r="C9" s="127">
        <v>74653</v>
      </c>
      <c r="D9" s="224">
        <f t="shared" si="1"/>
        <v>45</v>
      </c>
      <c r="E9" s="127">
        <v>48669</v>
      </c>
      <c r="F9" s="224">
        <f t="shared" si="1"/>
        <v>4</v>
      </c>
      <c r="G9" s="127">
        <v>53990</v>
      </c>
      <c r="H9" s="226">
        <f t="shared" ref="H9" si="19">IF(G9&lt;&gt;"",G9-G8,"")</f>
        <v>19</v>
      </c>
      <c r="I9" s="231">
        <f t="shared" si="3"/>
        <v>68</v>
      </c>
      <c r="J9" s="235">
        <v>16470</v>
      </c>
      <c r="K9" s="224">
        <f t="shared" ref="K9" si="20">IF(J9&lt;&gt;"",J9-J8,"")</f>
        <v>6</v>
      </c>
      <c r="L9" s="127">
        <v>51971</v>
      </c>
      <c r="M9" s="226">
        <f t="shared" ref="M9" si="21">IF(L9&lt;&gt;"",L9-L8,"")</f>
        <v>33</v>
      </c>
      <c r="N9" s="231">
        <f t="shared" si="6"/>
        <v>39</v>
      </c>
      <c r="O9" s="235">
        <v>48808</v>
      </c>
      <c r="P9" s="238">
        <f t="shared" ref="P9" si="22">IF(O9&lt;&gt;"",O9-O8,"")</f>
        <v>21</v>
      </c>
      <c r="Q9" s="232">
        <f t="shared" si="8"/>
        <v>107</v>
      </c>
      <c r="R9" s="241">
        <f t="shared" si="9"/>
        <v>10</v>
      </c>
      <c r="S9" s="241">
        <f t="shared" si="10"/>
        <v>97</v>
      </c>
      <c r="T9">
        <f t="shared" si="0"/>
        <v>16050</v>
      </c>
    </row>
    <row r="10" spans="1:20" x14ac:dyDescent="0.25">
      <c r="A10" s="221">
        <v>43792</v>
      </c>
      <c r="C10" s="127">
        <v>74694</v>
      </c>
      <c r="D10" s="224">
        <f t="shared" si="1"/>
        <v>41</v>
      </c>
      <c r="E10" s="127">
        <v>48670</v>
      </c>
      <c r="F10" s="224">
        <f t="shared" si="1"/>
        <v>1</v>
      </c>
      <c r="G10" s="127">
        <v>54009</v>
      </c>
      <c r="H10" s="226">
        <f t="shared" ref="H10" si="23">IF(G10&lt;&gt;"",G10-G9,"")</f>
        <v>19</v>
      </c>
      <c r="I10" s="231">
        <f t="shared" si="3"/>
        <v>61</v>
      </c>
      <c r="J10" s="235">
        <v>16477</v>
      </c>
      <c r="K10" s="224">
        <f t="shared" ref="K10:K11" si="24">IF(J10&lt;&gt;"",J10-J9,"")</f>
        <v>7</v>
      </c>
      <c r="L10" s="127">
        <v>52003</v>
      </c>
      <c r="M10" s="226">
        <f t="shared" ref="M10" si="25">IF(L10&lt;&gt;"",L10-L9,"")</f>
        <v>32</v>
      </c>
      <c r="N10" s="231">
        <f t="shared" si="6"/>
        <v>39</v>
      </c>
      <c r="O10" s="235">
        <v>48829</v>
      </c>
      <c r="P10" s="238">
        <f t="shared" ref="P10" si="26">IF(O10&lt;&gt;"",O10-O9,"")</f>
        <v>21</v>
      </c>
      <c r="Q10" s="232">
        <f t="shared" si="8"/>
        <v>100</v>
      </c>
      <c r="R10" s="241">
        <f t="shared" si="9"/>
        <v>8</v>
      </c>
      <c r="S10" s="241">
        <f t="shared" si="10"/>
        <v>92</v>
      </c>
      <c r="T10">
        <f t="shared" si="0"/>
        <v>15000</v>
      </c>
    </row>
    <row r="11" spans="1:20" x14ac:dyDescent="0.25">
      <c r="A11" s="221">
        <v>43793</v>
      </c>
      <c r="C11" s="127">
        <v>74737</v>
      </c>
      <c r="D11" s="224">
        <f t="shared" si="1"/>
        <v>43</v>
      </c>
      <c r="E11" s="127">
        <v>48670</v>
      </c>
      <c r="F11" s="224">
        <f t="shared" si="1"/>
        <v>0</v>
      </c>
      <c r="G11" s="127">
        <v>54036</v>
      </c>
      <c r="H11" s="226">
        <f t="shared" ref="H11" si="27">IF(G11&lt;&gt;"",G11-G10,"")</f>
        <v>27</v>
      </c>
      <c r="I11" s="231">
        <f t="shared" si="3"/>
        <v>70</v>
      </c>
      <c r="J11" s="235">
        <v>16477</v>
      </c>
      <c r="K11" s="224">
        <f t="shared" si="24"/>
        <v>0</v>
      </c>
      <c r="L11" s="127">
        <v>52040</v>
      </c>
      <c r="M11" s="226">
        <f t="shared" ref="M11" si="28">IF(L11&lt;&gt;"",L11-L10,"")</f>
        <v>37</v>
      </c>
      <c r="N11" s="231">
        <f t="shared" si="6"/>
        <v>37</v>
      </c>
      <c r="O11" s="235">
        <v>48848</v>
      </c>
      <c r="P11" s="238">
        <f t="shared" ref="P11" si="29">IF(O11&lt;&gt;"",O11-O10,"")</f>
        <v>19</v>
      </c>
      <c r="Q11" s="232">
        <f t="shared" si="8"/>
        <v>107</v>
      </c>
      <c r="R11" s="241">
        <f t="shared" si="9"/>
        <v>0</v>
      </c>
      <c r="S11" s="241">
        <f t="shared" si="10"/>
        <v>107</v>
      </c>
      <c r="T11">
        <f t="shared" si="0"/>
        <v>16050</v>
      </c>
    </row>
    <row r="12" spans="1:20" x14ac:dyDescent="0.25">
      <c r="A12" s="221">
        <v>43794</v>
      </c>
      <c r="C12" s="127">
        <v>74777</v>
      </c>
      <c r="D12" s="224">
        <f t="shared" si="1"/>
        <v>40</v>
      </c>
      <c r="E12" s="127">
        <v>48671</v>
      </c>
      <c r="F12" s="224">
        <f t="shared" si="1"/>
        <v>1</v>
      </c>
      <c r="G12" s="127">
        <v>54052</v>
      </c>
      <c r="H12" s="226">
        <f t="shared" ref="H12" si="30">IF(G12&lt;&gt;"",G12-G11,"")</f>
        <v>16</v>
      </c>
      <c r="I12" s="231">
        <f t="shared" si="3"/>
        <v>57</v>
      </c>
      <c r="J12" s="235">
        <v>16477</v>
      </c>
      <c r="K12" s="224">
        <f t="shared" ref="K12" si="31">IF(J12&lt;&gt;"",J12-J11,"")</f>
        <v>0</v>
      </c>
      <c r="L12" s="127">
        <v>52078</v>
      </c>
      <c r="M12" s="226">
        <f t="shared" ref="M12" si="32">IF(L12&lt;&gt;"",L12-L11,"")</f>
        <v>38</v>
      </c>
      <c r="N12" s="231">
        <f t="shared" si="6"/>
        <v>38</v>
      </c>
      <c r="O12" s="235">
        <v>48868</v>
      </c>
      <c r="P12" s="238">
        <f t="shared" ref="P12" si="33">IF(O12&lt;&gt;"",O12-O11,"")</f>
        <v>20</v>
      </c>
      <c r="Q12" s="232">
        <f t="shared" si="8"/>
        <v>95</v>
      </c>
      <c r="R12" s="241">
        <f t="shared" si="9"/>
        <v>1</v>
      </c>
      <c r="S12" s="241">
        <f t="shared" si="10"/>
        <v>94</v>
      </c>
      <c r="T12">
        <f t="shared" si="0"/>
        <v>14250</v>
      </c>
    </row>
    <row r="13" spans="1:20" x14ac:dyDescent="0.25">
      <c r="A13" s="221">
        <v>43795</v>
      </c>
      <c r="C13" s="127">
        <v>74816</v>
      </c>
      <c r="D13" s="224">
        <f t="shared" si="1"/>
        <v>39</v>
      </c>
      <c r="E13" s="127">
        <v>48673</v>
      </c>
      <c r="F13" s="224">
        <f t="shared" si="1"/>
        <v>2</v>
      </c>
      <c r="G13" s="127">
        <v>54069</v>
      </c>
      <c r="H13" s="226">
        <f t="shared" ref="H13" si="34">IF(G13&lt;&gt;"",G13-G12,"")</f>
        <v>17</v>
      </c>
      <c r="I13" s="231">
        <f t="shared" si="3"/>
        <v>58</v>
      </c>
      <c r="J13" s="235">
        <v>16485</v>
      </c>
      <c r="K13" s="224">
        <f t="shared" ref="K13" si="35">IF(J13&lt;&gt;"",J13-J12,"")</f>
        <v>8</v>
      </c>
      <c r="L13" s="127">
        <v>52109</v>
      </c>
      <c r="M13" s="226">
        <f t="shared" ref="M13" si="36">IF(L13&lt;&gt;"",L13-L12,"")</f>
        <v>31</v>
      </c>
      <c r="N13" s="231">
        <f t="shared" si="6"/>
        <v>39</v>
      </c>
      <c r="O13" s="235">
        <v>48887</v>
      </c>
      <c r="P13" s="238">
        <f t="shared" ref="P13" si="37">IF(O13&lt;&gt;"",O13-O12,"")</f>
        <v>19</v>
      </c>
      <c r="Q13" s="232">
        <f t="shared" si="8"/>
        <v>97</v>
      </c>
      <c r="R13" s="241">
        <f t="shared" si="9"/>
        <v>10</v>
      </c>
      <c r="S13" s="241">
        <f t="shared" si="10"/>
        <v>87</v>
      </c>
      <c r="T13">
        <f t="shared" si="0"/>
        <v>14550</v>
      </c>
    </row>
    <row r="14" spans="1:20" x14ac:dyDescent="0.25">
      <c r="A14" s="221">
        <v>43796</v>
      </c>
      <c r="C14" s="127">
        <v>74852</v>
      </c>
      <c r="D14" s="224">
        <f t="shared" si="1"/>
        <v>36</v>
      </c>
      <c r="E14" s="127">
        <v>48679</v>
      </c>
      <c r="F14" s="224">
        <f t="shared" si="1"/>
        <v>6</v>
      </c>
      <c r="G14" s="127">
        <v>54086</v>
      </c>
      <c r="H14" s="226">
        <f t="shared" ref="H14" si="38">IF(G14&lt;&gt;"",G14-G13,"")</f>
        <v>17</v>
      </c>
      <c r="I14" s="231">
        <f t="shared" si="3"/>
        <v>59</v>
      </c>
      <c r="J14" s="235">
        <v>16489</v>
      </c>
      <c r="K14" s="224">
        <f t="shared" ref="K14" si="39">IF(J14&lt;&gt;"",J14-J13,"")</f>
        <v>4</v>
      </c>
      <c r="L14" s="127">
        <v>52137</v>
      </c>
      <c r="M14" s="226">
        <f t="shared" ref="M14" si="40">IF(L14&lt;&gt;"",L14-L13,"")</f>
        <v>28</v>
      </c>
      <c r="N14" s="231">
        <f t="shared" si="6"/>
        <v>32</v>
      </c>
      <c r="O14" s="235">
        <v>48905</v>
      </c>
      <c r="P14" s="238">
        <f t="shared" ref="P14" si="41">IF(O14&lt;&gt;"",O14-O13,"")</f>
        <v>18</v>
      </c>
      <c r="Q14" s="232">
        <f t="shared" si="8"/>
        <v>91</v>
      </c>
      <c r="R14" s="241">
        <f t="shared" si="9"/>
        <v>10</v>
      </c>
      <c r="S14" s="241">
        <f t="shared" si="10"/>
        <v>81</v>
      </c>
      <c r="T14">
        <f t="shared" si="0"/>
        <v>13650</v>
      </c>
    </row>
    <row r="15" spans="1:20" x14ac:dyDescent="0.25">
      <c r="A15" s="221">
        <v>43797</v>
      </c>
      <c r="C15" s="127">
        <v>74875</v>
      </c>
      <c r="D15" s="224">
        <f t="shared" si="1"/>
        <v>23</v>
      </c>
      <c r="E15" s="127">
        <v>48684</v>
      </c>
      <c r="F15" s="224">
        <f t="shared" si="1"/>
        <v>5</v>
      </c>
      <c r="G15" s="127">
        <v>54105</v>
      </c>
      <c r="H15" s="226">
        <f t="shared" ref="H15" si="42">IF(G15&lt;&gt;"",G15-G14,"")</f>
        <v>19</v>
      </c>
      <c r="I15" s="231">
        <f t="shared" si="3"/>
        <v>47</v>
      </c>
      <c r="J15" s="235">
        <v>16494</v>
      </c>
      <c r="K15" s="224">
        <f t="shared" ref="K15" si="43">IF(J15&lt;&gt;"",J15-J14,"")</f>
        <v>5</v>
      </c>
      <c r="L15" s="127">
        <v>52166</v>
      </c>
      <c r="M15" s="226">
        <f t="shared" ref="M15" si="44">IF(L15&lt;&gt;"",L15-L14,"")</f>
        <v>29</v>
      </c>
      <c r="N15" s="231">
        <f t="shared" si="6"/>
        <v>34</v>
      </c>
      <c r="O15" s="235">
        <v>48922</v>
      </c>
      <c r="P15" s="238">
        <f t="shared" ref="P15" si="45">IF(O15&lt;&gt;"",O15-O14,"")</f>
        <v>17</v>
      </c>
      <c r="Q15" s="232">
        <f t="shared" si="8"/>
        <v>81</v>
      </c>
      <c r="R15" s="241">
        <f t="shared" si="9"/>
        <v>10</v>
      </c>
      <c r="S15" s="241">
        <f t="shared" si="10"/>
        <v>71</v>
      </c>
      <c r="T15">
        <f t="shared" si="0"/>
        <v>12150</v>
      </c>
    </row>
    <row r="16" spans="1:20" x14ac:dyDescent="0.25">
      <c r="A16" s="221">
        <v>43798</v>
      </c>
      <c r="C16" s="127">
        <v>74897</v>
      </c>
      <c r="D16" s="224">
        <f t="shared" si="1"/>
        <v>22</v>
      </c>
      <c r="E16" s="127">
        <v>48686</v>
      </c>
      <c r="F16" s="224">
        <f t="shared" si="1"/>
        <v>2</v>
      </c>
      <c r="G16" s="127">
        <v>54122</v>
      </c>
      <c r="H16" s="226">
        <f t="shared" ref="H16:H22" si="46">IF(G16&lt;&gt;"",G16-G15,"")</f>
        <v>17</v>
      </c>
      <c r="I16" s="231">
        <f t="shared" si="3"/>
        <v>41</v>
      </c>
      <c r="J16" s="235">
        <v>16499</v>
      </c>
      <c r="K16" s="224">
        <f t="shared" ref="K16:K22" si="47">IF(J16&lt;&gt;"",J16-J15,"")</f>
        <v>5</v>
      </c>
      <c r="L16" s="127">
        <v>52195</v>
      </c>
      <c r="M16" s="226">
        <f t="shared" ref="M16:M22" si="48">IF(L16&lt;&gt;"",L16-L15,"")</f>
        <v>29</v>
      </c>
      <c r="N16" s="231">
        <f t="shared" si="6"/>
        <v>34</v>
      </c>
      <c r="O16" s="235">
        <v>48940</v>
      </c>
      <c r="P16" s="238">
        <f t="shared" ref="P16:P22" si="49">IF(O16&lt;&gt;"",O16-O15,"")</f>
        <v>18</v>
      </c>
      <c r="Q16" s="232">
        <f t="shared" si="8"/>
        <v>75</v>
      </c>
      <c r="R16" s="241">
        <f t="shared" si="9"/>
        <v>7</v>
      </c>
      <c r="S16" s="241">
        <f t="shared" si="10"/>
        <v>68</v>
      </c>
      <c r="T16">
        <f t="shared" si="0"/>
        <v>11250</v>
      </c>
    </row>
    <row r="17" spans="1:20" x14ac:dyDescent="0.25">
      <c r="A17" s="221">
        <v>43800</v>
      </c>
      <c r="B17" s="239" t="s">
        <v>111</v>
      </c>
      <c r="C17" s="127">
        <v>74964</v>
      </c>
      <c r="D17" s="224">
        <f>IF(C17&lt;&gt;"",ROUND((C17-C16)/2,0),"")</f>
        <v>34</v>
      </c>
      <c r="E17" s="127">
        <v>48686</v>
      </c>
      <c r="F17" s="224">
        <f>IF(E17&lt;&gt;"",ROUND((E17-E16)/2,0),"")</f>
        <v>0</v>
      </c>
      <c r="G17" s="127">
        <v>54163</v>
      </c>
      <c r="H17" s="224">
        <f>IF(G17&lt;&gt;"",ROUND((G17-G16)/2,0),"")</f>
        <v>21</v>
      </c>
      <c r="I17" s="231">
        <f t="shared" si="3"/>
        <v>55</v>
      </c>
      <c r="J17" s="235">
        <v>16503</v>
      </c>
      <c r="K17" s="224">
        <f>IF(J17&lt;&gt;"",ROUND((J17-J16)/2,0),"")</f>
        <v>2</v>
      </c>
      <c r="L17" s="127">
        <v>52252</v>
      </c>
      <c r="M17" s="224">
        <f>IF(L17&lt;&gt;"",ROUND((L17-L16)/2,0),"")</f>
        <v>29</v>
      </c>
      <c r="N17" s="231">
        <f t="shared" si="6"/>
        <v>31</v>
      </c>
      <c r="O17" s="235">
        <v>48979</v>
      </c>
      <c r="P17" s="224">
        <f>IF(O17&lt;&gt;"",ROUND((O17-O16)/2,0),"")</f>
        <v>20</v>
      </c>
      <c r="Q17" s="232">
        <f t="shared" si="8"/>
        <v>86</v>
      </c>
      <c r="R17" s="241">
        <f t="shared" si="9"/>
        <v>2</v>
      </c>
      <c r="S17" s="241">
        <f t="shared" si="10"/>
        <v>84</v>
      </c>
      <c r="T17">
        <f t="shared" si="0"/>
        <v>12900</v>
      </c>
    </row>
    <row r="18" spans="1:20" x14ac:dyDescent="0.25">
      <c r="A18" s="221">
        <v>43801</v>
      </c>
      <c r="C18" s="127">
        <v>75002</v>
      </c>
      <c r="D18" s="224">
        <f t="shared" si="1"/>
        <v>38</v>
      </c>
      <c r="E18" s="127">
        <v>48686</v>
      </c>
      <c r="F18" s="224">
        <f t="shared" si="1"/>
        <v>0</v>
      </c>
      <c r="G18" s="127">
        <v>54184</v>
      </c>
      <c r="H18" s="226">
        <f t="shared" si="46"/>
        <v>21</v>
      </c>
      <c r="I18" s="231">
        <f t="shared" si="3"/>
        <v>59</v>
      </c>
      <c r="J18" s="235">
        <v>16504</v>
      </c>
      <c r="K18" s="224">
        <f t="shared" si="47"/>
        <v>1</v>
      </c>
      <c r="L18" s="127">
        <v>52288</v>
      </c>
      <c r="M18" s="226">
        <f t="shared" si="48"/>
        <v>36</v>
      </c>
      <c r="N18" s="231">
        <f t="shared" si="6"/>
        <v>37</v>
      </c>
      <c r="O18" s="235">
        <v>48997</v>
      </c>
      <c r="P18" s="238">
        <f t="shared" si="49"/>
        <v>18</v>
      </c>
      <c r="Q18" s="232">
        <f t="shared" si="8"/>
        <v>96</v>
      </c>
      <c r="R18" s="241">
        <f t="shared" si="9"/>
        <v>1</v>
      </c>
      <c r="S18" s="241">
        <f t="shared" si="10"/>
        <v>95</v>
      </c>
      <c r="T18">
        <f t="shared" si="0"/>
        <v>14400</v>
      </c>
    </row>
    <row r="19" spans="1:20" x14ac:dyDescent="0.25">
      <c r="A19" s="221">
        <v>43802</v>
      </c>
      <c r="C19" s="127">
        <v>75039</v>
      </c>
      <c r="D19" s="224">
        <f t="shared" si="1"/>
        <v>37</v>
      </c>
      <c r="E19" s="127">
        <v>48691</v>
      </c>
      <c r="F19" s="224">
        <f t="shared" si="1"/>
        <v>5</v>
      </c>
      <c r="G19" s="127">
        <v>54203</v>
      </c>
      <c r="H19" s="226">
        <f t="shared" si="46"/>
        <v>19</v>
      </c>
      <c r="I19" s="231">
        <f t="shared" si="3"/>
        <v>61</v>
      </c>
      <c r="J19" s="235">
        <v>16509</v>
      </c>
      <c r="K19" s="224">
        <f t="shared" si="47"/>
        <v>5</v>
      </c>
      <c r="L19" s="127">
        <v>52318</v>
      </c>
      <c r="M19" s="226">
        <f t="shared" si="48"/>
        <v>30</v>
      </c>
      <c r="N19" s="231">
        <f t="shared" si="6"/>
        <v>35</v>
      </c>
      <c r="O19" s="235">
        <v>49014</v>
      </c>
      <c r="P19" s="238">
        <f t="shared" si="49"/>
        <v>17</v>
      </c>
      <c r="Q19" s="232">
        <f t="shared" si="8"/>
        <v>96</v>
      </c>
      <c r="R19" s="241">
        <f t="shared" si="9"/>
        <v>10</v>
      </c>
      <c r="S19" s="241">
        <f t="shared" si="10"/>
        <v>86</v>
      </c>
      <c r="T19">
        <f t="shared" si="0"/>
        <v>14400</v>
      </c>
    </row>
    <row r="20" spans="1:20" x14ac:dyDescent="0.25">
      <c r="A20" s="221">
        <v>43803</v>
      </c>
      <c r="C20" s="127">
        <v>75075</v>
      </c>
      <c r="D20" s="224">
        <f t="shared" ref="D20" si="50">IF(C20&lt;&gt;"",C20-C19,"")</f>
        <v>36</v>
      </c>
      <c r="E20" s="127">
        <v>48696</v>
      </c>
      <c r="F20" s="224">
        <f t="shared" ref="F20" si="51">IF(E20&lt;&gt;"",E20-E19,"")</f>
        <v>5</v>
      </c>
      <c r="G20" s="127">
        <v>54221</v>
      </c>
      <c r="H20" s="226">
        <f t="shared" ref="H20" si="52">IF(G20&lt;&gt;"",G20-G19,"")</f>
        <v>18</v>
      </c>
      <c r="I20" s="231">
        <f t="shared" ref="I20" si="53">IF(F20&lt;&gt;"",D20+F20+H20,"")</f>
        <v>59</v>
      </c>
      <c r="J20" s="235">
        <v>16514</v>
      </c>
      <c r="K20" s="224">
        <f t="shared" ref="K20" si="54">IF(J20&lt;&gt;"",J20-J19,"")</f>
        <v>5</v>
      </c>
      <c r="L20" s="127">
        <v>52348</v>
      </c>
      <c r="M20" s="226">
        <f t="shared" ref="M20" si="55">IF(L20&lt;&gt;"",L20-L19,"")</f>
        <v>30</v>
      </c>
      <c r="N20" s="231">
        <f t="shared" ref="N20" si="56">IF(K20&lt;&gt;"",K20+M20,"")</f>
        <v>35</v>
      </c>
      <c r="O20" s="235">
        <v>49032</v>
      </c>
      <c r="P20" s="238">
        <f t="shared" ref="P20" si="57">IF(O20&lt;&gt;"",O20-O19,"")</f>
        <v>18</v>
      </c>
      <c r="Q20" s="232">
        <f t="shared" si="8"/>
        <v>94</v>
      </c>
      <c r="R20" s="241">
        <f t="shared" si="9"/>
        <v>10</v>
      </c>
      <c r="S20" s="241">
        <f t="shared" si="10"/>
        <v>84</v>
      </c>
      <c r="T20">
        <f t="shared" si="0"/>
        <v>14100</v>
      </c>
    </row>
    <row r="21" spans="1:20" x14ac:dyDescent="0.25">
      <c r="A21" s="221">
        <v>43804</v>
      </c>
      <c r="C21" s="127">
        <v>75132</v>
      </c>
      <c r="D21" s="224">
        <f t="shared" si="1"/>
        <v>57</v>
      </c>
      <c r="E21" s="127">
        <v>48703</v>
      </c>
      <c r="F21" s="224">
        <f t="shared" si="1"/>
        <v>7</v>
      </c>
      <c r="G21" s="127">
        <v>54242</v>
      </c>
      <c r="H21" s="226">
        <f t="shared" si="46"/>
        <v>21</v>
      </c>
      <c r="I21" s="231">
        <f t="shared" si="3"/>
        <v>85</v>
      </c>
      <c r="J21" s="235">
        <v>16521</v>
      </c>
      <c r="K21" s="224">
        <f t="shared" si="47"/>
        <v>7</v>
      </c>
      <c r="L21" s="127">
        <v>52378</v>
      </c>
      <c r="M21" s="226">
        <f t="shared" si="48"/>
        <v>30</v>
      </c>
      <c r="N21" s="231">
        <f t="shared" si="6"/>
        <v>37</v>
      </c>
      <c r="O21" s="235">
        <v>49048</v>
      </c>
      <c r="P21" s="238">
        <f t="shared" si="49"/>
        <v>16</v>
      </c>
      <c r="Q21" s="232">
        <f t="shared" si="8"/>
        <v>122</v>
      </c>
      <c r="R21" s="241">
        <f t="shared" si="9"/>
        <v>14</v>
      </c>
      <c r="S21" s="241">
        <f t="shared" si="10"/>
        <v>108</v>
      </c>
      <c r="T21">
        <f t="shared" si="0"/>
        <v>18300</v>
      </c>
    </row>
    <row r="22" spans="1:20" x14ac:dyDescent="0.25">
      <c r="A22" s="221">
        <v>43805</v>
      </c>
      <c r="C22" s="127">
        <v>75188</v>
      </c>
      <c r="D22" s="224">
        <f t="shared" si="1"/>
        <v>56</v>
      </c>
      <c r="E22" s="127">
        <v>48720</v>
      </c>
      <c r="F22" s="224">
        <f t="shared" si="1"/>
        <v>17</v>
      </c>
      <c r="G22" s="127">
        <v>54262</v>
      </c>
      <c r="H22" s="226">
        <f t="shared" si="46"/>
        <v>20</v>
      </c>
      <c r="I22" s="231">
        <f t="shared" si="3"/>
        <v>93</v>
      </c>
      <c r="J22" s="235">
        <v>16531</v>
      </c>
      <c r="K22" s="224">
        <f t="shared" si="47"/>
        <v>10</v>
      </c>
      <c r="L22" s="127">
        <v>52409</v>
      </c>
      <c r="M22" s="226">
        <f t="shared" si="48"/>
        <v>31</v>
      </c>
      <c r="N22" s="231">
        <f t="shared" si="6"/>
        <v>41</v>
      </c>
      <c r="O22" s="235">
        <v>49070</v>
      </c>
      <c r="P22" s="238">
        <f t="shared" si="49"/>
        <v>22</v>
      </c>
      <c r="Q22" s="232">
        <f t="shared" si="8"/>
        <v>134</v>
      </c>
      <c r="R22" s="241">
        <f t="shared" si="9"/>
        <v>27</v>
      </c>
      <c r="S22" s="241">
        <f t="shared" si="10"/>
        <v>107</v>
      </c>
      <c r="T22">
        <f t="shared" si="0"/>
        <v>20100</v>
      </c>
    </row>
    <row r="23" spans="1:20" x14ac:dyDescent="0.25">
      <c r="A23" s="221">
        <v>43808</v>
      </c>
      <c r="B23" s="239" t="s">
        <v>112</v>
      </c>
      <c r="C23" s="127">
        <v>75340</v>
      </c>
      <c r="D23" s="224">
        <f>IF(C23&lt;&gt;"",ROUND((C23-C22)/3,0),"")</f>
        <v>51</v>
      </c>
      <c r="E23" s="127">
        <v>48727</v>
      </c>
      <c r="F23" s="224">
        <f>IF(E23&lt;&gt;"",ROUND((E23-E22)/3,0),"")</f>
        <v>2</v>
      </c>
      <c r="G23" s="127">
        <v>54330</v>
      </c>
      <c r="H23" s="224">
        <f>IF(G23&lt;&gt;"",ROUND((G23-G22)/3,0),"")</f>
        <v>23</v>
      </c>
      <c r="I23" s="231">
        <f t="shared" si="3"/>
        <v>76</v>
      </c>
      <c r="J23" s="235">
        <v>16537</v>
      </c>
      <c r="K23" s="224">
        <f>IF(J23&lt;&gt;"",ROUND((J23-J22)/3,0),"")</f>
        <v>2</v>
      </c>
      <c r="L23" s="127">
        <v>52529</v>
      </c>
      <c r="M23" s="224">
        <f>IF(L23&lt;&gt;"",ROUND((L23-L22)/3,0),"")</f>
        <v>40</v>
      </c>
      <c r="N23" s="231">
        <f t="shared" si="6"/>
        <v>42</v>
      </c>
      <c r="O23" s="235">
        <v>49123</v>
      </c>
      <c r="P23" s="238">
        <f>IF(O23&lt;&gt;"",ROUND((O23-O22)/3,0),"")</f>
        <v>18</v>
      </c>
      <c r="Q23" s="232">
        <f t="shared" si="8"/>
        <v>118</v>
      </c>
      <c r="R23" s="241">
        <f t="shared" si="9"/>
        <v>4</v>
      </c>
      <c r="S23" s="241">
        <f t="shared" si="10"/>
        <v>114</v>
      </c>
      <c r="T23">
        <f t="shared" si="0"/>
        <v>17700</v>
      </c>
    </row>
    <row r="24" spans="1:20" x14ac:dyDescent="0.25">
      <c r="A24" s="221">
        <v>43809</v>
      </c>
      <c r="C24" s="127">
        <v>75391</v>
      </c>
      <c r="D24" s="224">
        <f t="shared" ref="D24" si="58">IF(C24&lt;&gt;"",C24-C23,"")</f>
        <v>51</v>
      </c>
      <c r="E24" s="127">
        <v>48732</v>
      </c>
      <c r="F24" s="224">
        <f t="shared" ref="F24" si="59">IF(E24&lt;&gt;"",E24-E23,"")</f>
        <v>5</v>
      </c>
      <c r="G24" s="127">
        <v>54349</v>
      </c>
      <c r="H24" s="226">
        <f t="shared" ref="H24" si="60">IF(G24&lt;&gt;"",G24-G23,"")</f>
        <v>19</v>
      </c>
      <c r="I24" s="231">
        <f t="shared" ref="I24" si="61">IF(F24&lt;&gt;"",D24+F24+H24,"")</f>
        <v>75</v>
      </c>
      <c r="J24" s="235">
        <v>16543</v>
      </c>
      <c r="K24" s="224">
        <f t="shared" ref="K24" si="62">IF(J24&lt;&gt;"",J24-J23,"")</f>
        <v>6</v>
      </c>
      <c r="L24" s="127">
        <v>52562</v>
      </c>
      <c r="M24" s="226">
        <f t="shared" ref="M24" si="63">IF(L24&lt;&gt;"",L24-L23,"")</f>
        <v>33</v>
      </c>
      <c r="N24" s="231">
        <f t="shared" ref="N24" si="64">IF(K24&lt;&gt;"",K24+M24,"")</f>
        <v>39</v>
      </c>
      <c r="O24" s="235">
        <v>49139</v>
      </c>
      <c r="P24" s="238">
        <f t="shared" ref="P24" si="65">IF(O24&lt;&gt;"",O24-O23,"")</f>
        <v>16</v>
      </c>
      <c r="Q24" s="232">
        <f t="shared" ref="Q24" si="66">IF(D24&lt;&gt;"",D24+F24+H24+K24+M24,"")</f>
        <v>114</v>
      </c>
      <c r="R24" s="241">
        <f t="shared" ref="R24" si="67">F24+K24</f>
        <v>11</v>
      </c>
      <c r="S24" s="241">
        <f t="shared" ref="S24" si="68">D24+H24+M24</f>
        <v>103</v>
      </c>
      <c r="T24">
        <f t="shared" ref="T24" si="69">IF(Q24&lt;&gt;"",150*Q24,"")</f>
        <v>17100</v>
      </c>
    </row>
    <row r="25" spans="1:20" x14ac:dyDescent="0.25">
      <c r="A25" s="221">
        <v>43810</v>
      </c>
      <c r="C25" s="127">
        <v>75438</v>
      </c>
      <c r="D25" s="224">
        <f t="shared" ref="D25" si="70">IF(C25&lt;&gt;"",C25-C24,"")</f>
        <v>47</v>
      </c>
      <c r="E25" s="127">
        <v>48732</v>
      </c>
      <c r="F25" s="224">
        <f t="shared" ref="F25" si="71">IF(E25&lt;&gt;"",E25-E24,"")</f>
        <v>0</v>
      </c>
      <c r="G25" s="127">
        <v>54367</v>
      </c>
      <c r="H25" s="226">
        <f t="shared" ref="H25" si="72">IF(G25&lt;&gt;"",G25-G24,"")</f>
        <v>18</v>
      </c>
      <c r="I25" s="231">
        <f t="shared" ref="I25" si="73">IF(F25&lt;&gt;"",D25+F25+H25,"")</f>
        <v>65</v>
      </c>
      <c r="J25" s="235">
        <v>16548</v>
      </c>
      <c r="K25" s="224">
        <f t="shared" ref="K25" si="74">IF(J25&lt;&gt;"",J25-J24,"")</f>
        <v>5</v>
      </c>
      <c r="L25" s="127">
        <v>52595</v>
      </c>
      <c r="M25" s="226">
        <f t="shared" ref="M25" si="75">IF(L25&lt;&gt;"",L25-L24,"")</f>
        <v>33</v>
      </c>
      <c r="N25" s="231">
        <f t="shared" ref="N25" si="76">IF(K25&lt;&gt;"",K25+M25,"")</f>
        <v>38</v>
      </c>
      <c r="O25" s="235">
        <v>49156</v>
      </c>
      <c r="P25" s="238">
        <f t="shared" ref="P25" si="77">IF(O25&lt;&gt;"",O25-O24,"")</f>
        <v>17</v>
      </c>
      <c r="Q25" s="232">
        <f t="shared" ref="Q25" si="78">IF(D25&lt;&gt;"",D25+F25+H25+K25+M25,"")</f>
        <v>103</v>
      </c>
      <c r="R25" s="241">
        <f t="shared" ref="R25" si="79">F25+K25</f>
        <v>5</v>
      </c>
      <c r="S25" s="241">
        <f t="shared" ref="S25" si="80">D25+H25+M25</f>
        <v>98</v>
      </c>
      <c r="T25">
        <f t="shared" ref="T25" si="81">IF(Q25&lt;&gt;"",150*Q25,"")</f>
        <v>15450</v>
      </c>
    </row>
    <row r="26" spans="1:20" x14ac:dyDescent="0.25">
      <c r="A26" s="221">
        <v>43811</v>
      </c>
      <c r="C26" s="127">
        <v>75488</v>
      </c>
      <c r="D26" s="224">
        <f t="shared" ref="D26" si="82">IF(C26&lt;&gt;"",C26-C25,"")</f>
        <v>50</v>
      </c>
      <c r="E26" s="127">
        <v>48733</v>
      </c>
      <c r="F26" s="224">
        <f t="shared" ref="F26" si="83">IF(E26&lt;&gt;"",E26-E25,"")</f>
        <v>1</v>
      </c>
      <c r="G26" s="127">
        <v>54384</v>
      </c>
      <c r="H26" s="226">
        <f t="shared" ref="H26" si="84">IF(G26&lt;&gt;"",G26-G25,"")</f>
        <v>17</v>
      </c>
      <c r="I26" s="231">
        <f t="shared" ref="I26" si="85">IF(F26&lt;&gt;"",D26+F26+H26,"")</f>
        <v>68</v>
      </c>
      <c r="J26" s="235">
        <v>16554</v>
      </c>
      <c r="K26" s="224">
        <f t="shared" ref="K26" si="86">IF(J26&lt;&gt;"",J26-J25,"")</f>
        <v>6</v>
      </c>
      <c r="L26" s="127">
        <v>52616</v>
      </c>
      <c r="M26" s="226">
        <f t="shared" ref="M26" si="87">IF(L26&lt;&gt;"",L26-L25,"")</f>
        <v>21</v>
      </c>
      <c r="N26" s="231">
        <f t="shared" ref="N26" si="88">IF(K26&lt;&gt;"",K26+M26,"")</f>
        <v>27</v>
      </c>
      <c r="O26" s="235">
        <v>49167</v>
      </c>
      <c r="P26" s="238">
        <f t="shared" ref="P26" si="89">IF(O26&lt;&gt;"",O26-O25,"")</f>
        <v>11</v>
      </c>
      <c r="Q26" s="232">
        <f t="shared" ref="Q26" si="90">IF(D26&lt;&gt;"",D26+F26+H26+K26+M26,"")</f>
        <v>95</v>
      </c>
      <c r="R26" s="241">
        <f t="shared" ref="R26" si="91">F26+K26</f>
        <v>7</v>
      </c>
      <c r="S26" s="241">
        <f t="shared" ref="S26" si="92">D26+H26+M26</f>
        <v>88</v>
      </c>
      <c r="T26">
        <f t="shared" ref="T26" si="93">IF(Q26&lt;&gt;"",150*Q26,"")</f>
        <v>14250</v>
      </c>
    </row>
    <row r="27" spans="1:20" x14ac:dyDescent="0.25">
      <c r="A27" s="221">
        <v>43812</v>
      </c>
      <c r="C27" s="127">
        <v>75538</v>
      </c>
      <c r="D27" s="224">
        <f t="shared" ref="D27" si="94">IF(C27&lt;&gt;"",C27-C26,"")</f>
        <v>50</v>
      </c>
      <c r="E27" s="127">
        <v>48743</v>
      </c>
      <c r="F27" s="224">
        <f t="shared" ref="F27" si="95">IF(E27&lt;&gt;"",E27-E26,"")</f>
        <v>10</v>
      </c>
      <c r="G27" s="127">
        <v>54401</v>
      </c>
      <c r="H27" s="226">
        <f t="shared" ref="H27" si="96">IF(G27&lt;&gt;"",G27-G26,"")</f>
        <v>17</v>
      </c>
      <c r="I27" s="231">
        <f t="shared" ref="I27" si="97">IF(F27&lt;&gt;"",D27+F27+H27,"")</f>
        <v>77</v>
      </c>
      <c r="J27" s="235">
        <v>16568</v>
      </c>
      <c r="K27" s="224">
        <f t="shared" ref="K27" si="98">IF(J27&lt;&gt;"",J27-J26,"")</f>
        <v>14</v>
      </c>
      <c r="L27" s="127">
        <v>52654</v>
      </c>
      <c r="M27" s="226">
        <f t="shared" ref="M27" si="99">IF(L27&lt;&gt;"",L27-L26,"")</f>
        <v>38</v>
      </c>
      <c r="N27" s="231">
        <f t="shared" ref="N27" si="100">IF(K27&lt;&gt;"",K27+M27,"")</f>
        <v>52</v>
      </c>
      <c r="O27" s="235">
        <v>49195</v>
      </c>
      <c r="P27" s="238">
        <f t="shared" ref="P27" si="101">IF(O27&lt;&gt;"",O27-O26,"")</f>
        <v>28</v>
      </c>
      <c r="Q27" s="232">
        <f t="shared" ref="Q27" si="102">IF(D27&lt;&gt;"",D27+F27+H27+K27+M27,"")</f>
        <v>129</v>
      </c>
      <c r="R27" s="241">
        <f t="shared" ref="R27" si="103">F27+K27</f>
        <v>24</v>
      </c>
      <c r="S27" s="241">
        <f t="shared" ref="S27" si="104">D27+H27+M27</f>
        <v>105</v>
      </c>
      <c r="T27">
        <f t="shared" ref="T27" si="105">IF(Q27&lt;&gt;"",150*Q27,"")</f>
        <v>19350</v>
      </c>
    </row>
    <row r="28" spans="1:20" x14ac:dyDescent="0.25">
      <c r="A28" s="221">
        <v>43813</v>
      </c>
      <c r="C28" s="127">
        <v>75588</v>
      </c>
      <c r="D28" s="224">
        <f t="shared" ref="D28" si="106">IF(C28&lt;&gt;"",C28-C27,"")</f>
        <v>50</v>
      </c>
      <c r="E28" s="127">
        <v>48755</v>
      </c>
      <c r="F28" s="224">
        <f t="shared" ref="F28" si="107">IF(E28&lt;&gt;"",E28-E27,"")</f>
        <v>12</v>
      </c>
      <c r="G28" s="127">
        <v>54418</v>
      </c>
      <c r="H28" s="226">
        <f t="shared" ref="H28" si="108">IF(G28&lt;&gt;"",G28-G27,"")</f>
        <v>17</v>
      </c>
      <c r="I28" s="231">
        <f t="shared" ref="I28:I29" si="109">IF(F28&lt;&gt;"",D28+F28+H28,"")</f>
        <v>79</v>
      </c>
      <c r="J28" s="235">
        <v>16579</v>
      </c>
      <c r="K28" s="224">
        <f t="shared" ref="K28" si="110">IF(J28&lt;&gt;"",J28-J27,"")</f>
        <v>11</v>
      </c>
      <c r="L28" s="127">
        <v>52686</v>
      </c>
      <c r="M28" s="226">
        <f t="shared" ref="M28" si="111">IF(L28&lt;&gt;"",L28-L27,"")</f>
        <v>32</v>
      </c>
      <c r="N28" s="231">
        <f t="shared" ref="N28:N29" si="112">IF(K28&lt;&gt;"",K28+M28,"")</f>
        <v>43</v>
      </c>
      <c r="O28" s="235">
        <v>49215</v>
      </c>
      <c r="P28" s="238">
        <f t="shared" ref="P28" si="113">IF(O28&lt;&gt;"",O28-O27,"")</f>
        <v>20</v>
      </c>
      <c r="Q28" s="232">
        <f t="shared" ref="Q28:Q29" si="114">IF(D28&lt;&gt;"",D28+F28+H28+K28+M28,"")</f>
        <v>122</v>
      </c>
      <c r="R28" s="241">
        <f t="shared" ref="R28:R29" si="115">F28+K28</f>
        <v>23</v>
      </c>
      <c r="S28" s="241">
        <f t="shared" ref="S28:S29" si="116">D28+H28+M28</f>
        <v>99</v>
      </c>
      <c r="T28">
        <f t="shared" ref="T28:T29" si="117">IF(Q28&lt;&gt;"",150*Q28,"")</f>
        <v>18300</v>
      </c>
    </row>
    <row r="29" spans="1:20" x14ac:dyDescent="0.25">
      <c r="A29" s="221">
        <v>43816</v>
      </c>
      <c r="B29" s="239" t="s">
        <v>112</v>
      </c>
      <c r="C29" s="127">
        <v>75730</v>
      </c>
      <c r="D29" s="224">
        <f>IF(C29&lt;&gt;"",ROUND((C29-C28)/3,0),"")</f>
        <v>47</v>
      </c>
      <c r="E29" s="127">
        <v>48761</v>
      </c>
      <c r="F29" s="224">
        <f>IF(E29&lt;&gt;"",ROUND((E29-E28)/3,0),"")</f>
        <v>2</v>
      </c>
      <c r="G29" s="127">
        <v>54468</v>
      </c>
      <c r="H29" s="224">
        <f>IF(G29&lt;&gt;"",ROUND((G29-G28)/3,0),"")</f>
        <v>17</v>
      </c>
      <c r="I29" s="231">
        <f t="shared" si="109"/>
        <v>66</v>
      </c>
      <c r="J29" s="235">
        <v>16587</v>
      </c>
      <c r="K29" s="224">
        <f>IF(J29&lt;&gt;"",ROUND((J29-J28)/3,0),"")</f>
        <v>3</v>
      </c>
      <c r="L29" s="127">
        <v>52792</v>
      </c>
      <c r="M29" s="224">
        <f>IF(L29&lt;&gt;"",ROUND((L29-L28)/3,0),"")</f>
        <v>35</v>
      </c>
      <c r="N29" s="231">
        <f t="shared" si="112"/>
        <v>38</v>
      </c>
      <c r="O29" s="235">
        <v>49267</v>
      </c>
      <c r="P29" s="238">
        <f>IF(O29&lt;&gt;"",ROUND((O29-O28)/3,0),"")</f>
        <v>17</v>
      </c>
      <c r="Q29" s="232">
        <f t="shared" si="114"/>
        <v>104</v>
      </c>
      <c r="R29" s="241">
        <f t="shared" si="115"/>
        <v>5</v>
      </c>
      <c r="S29" s="241">
        <f t="shared" si="116"/>
        <v>99</v>
      </c>
      <c r="T29">
        <f t="shared" si="117"/>
        <v>15600</v>
      </c>
    </row>
    <row r="30" spans="1:20" x14ac:dyDescent="0.25">
      <c r="A30" s="221">
        <v>43817</v>
      </c>
      <c r="C30" s="127">
        <v>75772</v>
      </c>
      <c r="D30" s="224">
        <f t="shared" ref="D30" si="118">IF(C30&lt;&gt;"",C30-C29,"")</f>
        <v>42</v>
      </c>
      <c r="E30" s="127">
        <v>48769</v>
      </c>
      <c r="F30" s="224">
        <f t="shared" ref="F30" si="119">IF(E30&lt;&gt;"",E30-E29,"")</f>
        <v>8</v>
      </c>
      <c r="G30" s="127">
        <v>54486</v>
      </c>
      <c r="H30" s="226">
        <f t="shared" ref="H30" si="120">IF(G30&lt;&gt;"",G30-G29,"")</f>
        <v>18</v>
      </c>
      <c r="I30" s="231">
        <f t="shared" ref="I30:I31" si="121">IF(F30&lt;&gt;"",D30+F30+H30,"")</f>
        <v>68</v>
      </c>
      <c r="J30" s="235"/>
      <c r="K30" s="224"/>
      <c r="L30" s="127"/>
      <c r="M30" s="224"/>
      <c r="N30" s="231"/>
      <c r="O30" s="235"/>
      <c r="P30" s="238"/>
      <c r="Q30" s="232"/>
      <c r="R30" s="241"/>
      <c r="S30" s="241"/>
    </row>
    <row r="31" spans="1:20" x14ac:dyDescent="0.25">
      <c r="A31" s="221">
        <v>43819</v>
      </c>
      <c r="B31" s="239" t="s">
        <v>111</v>
      </c>
      <c r="C31" s="127">
        <v>75858</v>
      </c>
      <c r="D31" s="224">
        <f>IF(C31&lt;&gt;"",ROUND((C31-C30)/2,0),"")</f>
        <v>43</v>
      </c>
      <c r="E31" s="127">
        <v>48779</v>
      </c>
      <c r="F31" s="224">
        <f>IF(E31&lt;&gt;"",ROUND((E31-E30)/2,0),"")</f>
        <v>5</v>
      </c>
      <c r="G31" s="127">
        <v>54519</v>
      </c>
      <c r="H31" s="224">
        <f>IF(G31&lt;&gt;"",ROUND((G31-G30)/2,0),"")</f>
        <v>17</v>
      </c>
      <c r="I31" s="231">
        <f t="shared" si="121"/>
        <v>65</v>
      </c>
      <c r="J31" s="235"/>
      <c r="K31" s="224"/>
      <c r="L31" s="127"/>
      <c r="M31" s="224"/>
      <c r="N31" s="231"/>
      <c r="O31" s="235"/>
      <c r="P31" s="238"/>
      <c r="Q31" s="232"/>
      <c r="R31" s="241"/>
      <c r="S31" s="241"/>
    </row>
    <row r="32" spans="1:20" x14ac:dyDescent="0.25">
      <c r="A32" s="221">
        <v>43830</v>
      </c>
      <c r="B32" s="239" t="s">
        <v>115</v>
      </c>
      <c r="C32" s="127">
        <v>76341</v>
      </c>
      <c r="D32" s="224">
        <f>IF(C32&lt;&gt;"",ROUND((C32-C31)/11,0),"")</f>
        <v>44</v>
      </c>
      <c r="E32" s="127">
        <v>48847</v>
      </c>
      <c r="F32" s="224">
        <f>IF(E32&lt;&gt;"",ROUND((E32-E31)/11,0),"")</f>
        <v>6</v>
      </c>
      <c r="G32" s="127">
        <v>54684</v>
      </c>
      <c r="H32" s="224">
        <f>IF(G32&lt;&gt;"",ROUND((G32-G31)/11,0),"")</f>
        <v>15</v>
      </c>
      <c r="I32" s="231">
        <f t="shared" ref="I32:I33" si="122">IF(F32&lt;&gt;"",D32+F32+H32,"")</f>
        <v>65</v>
      </c>
      <c r="K32" s="224"/>
      <c r="L32" s="127"/>
      <c r="M32" s="224"/>
      <c r="N32" s="231"/>
      <c r="O32" s="235"/>
      <c r="P32" s="238"/>
      <c r="Q32" s="232"/>
      <c r="R32" s="241"/>
      <c r="S32" s="241"/>
    </row>
    <row r="33" spans="1:20" x14ac:dyDescent="0.25">
      <c r="A33" s="221">
        <v>43831</v>
      </c>
      <c r="C33" s="127">
        <v>76399</v>
      </c>
      <c r="D33" s="224">
        <f t="shared" ref="D33" si="123">IF(C33&lt;&gt;"",C33-C32,"")</f>
        <v>58</v>
      </c>
      <c r="E33" s="127">
        <v>48855</v>
      </c>
      <c r="F33" s="224">
        <f t="shared" ref="F33" si="124">IF(E33&lt;&gt;"",E33-E32,"")</f>
        <v>8</v>
      </c>
      <c r="G33" s="127">
        <v>54704</v>
      </c>
      <c r="H33" s="226">
        <f t="shared" ref="H33" si="125">IF(G33&lt;&gt;"",G33-G32,"")</f>
        <v>20</v>
      </c>
      <c r="I33" s="231">
        <f t="shared" si="122"/>
        <v>86</v>
      </c>
      <c r="J33" s="235">
        <v>16682</v>
      </c>
      <c r="K33" s="224">
        <f>IF(J33&lt;&gt;"",ROUND((J33-J29)/15,0),"")</f>
        <v>6</v>
      </c>
      <c r="L33" s="127">
        <v>53184</v>
      </c>
      <c r="M33" s="224">
        <f>IF(L33&lt;&gt;"",ROUND((L33-L29)/15,0),"")</f>
        <v>26</v>
      </c>
      <c r="N33" s="231">
        <f>IF(K33&lt;&gt;"",K33+M33,"")</f>
        <v>32</v>
      </c>
      <c r="O33" s="235">
        <v>49528</v>
      </c>
      <c r="P33" s="238">
        <f>IF(O33&lt;&gt;"",ROUND((O33-O29)/15,0),"")</f>
        <v>17</v>
      </c>
      <c r="Q33" s="232">
        <f>IF(D32&lt;&gt;"",D32+F32+H32+K33+M33,"")</f>
        <v>97</v>
      </c>
      <c r="R33" s="241">
        <f>F32+K33</f>
        <v>12</v>
      </c>
      <c r="S33" s="241">
        <f>D33+H33+M33</f>
        <v>104</v>
      </c>
      <c r="T33">
        <f>IF(Q33&lt;&gt;"",150*Q33,"")</f>
        <v>14550</v>
      </c>
    </row>
    <row r="34" spans="1:20" x14ac:dyDescent="0.25">
      <c r="A34" s="221">
        <v>43839</v>
      </c>
      <c r="B34" s="239" t="s">
        <v>116</v>
      </c>
      <c r="C34" s="127">
        <v>76797</v>
      </c>
      <c r="D34" s="224">
        <f>IF(C34&lt;&gt;"",ROUND((C34-C33)/8,0),"")</f>
        <v>50</v>
      </c>
      <c r="E34" s="127">
        <v>48911</v>
      </c>
      <c r="F34" s="224">
        <f>IF(E34&lt;&gt;"",ROUND((E34-E33)/8,0),"")</f>
        <v>7</v>
      </c>
      <c r="G34" s="127">
        <v>54869</v>
      </c>
      <c r="H34" s="224">
        <f>IF(G34&lt;&gt;"",ROUND((G34-G33)/8,0),"")</f>
        <v>21</v>
      </c>
      <c r="I34" s="231">
        <f t="shared" ref="I34" si="126">IF(F34&lt;&gt;"",D34+F34+H34,"")</f>
        <v>78</v>
      </c>
      <c r="J34" s="235"/>
      <c r="K34" s="224"/>
      <c r="L34" s="127"/>
      <c r="M34" s="224"/>
      <c r="N34" s="231"/>
      <c r="O34" s="235"/>
      <c r="P34" s="238"/>
      <c r="Q34" s="232"/>
      <c r="R34" s="241"/>
      <c r="S34" s="241"/>
    </row>
    <row r="35" spans="1:20" x14ac:dyDescent="0.25">
      <c r="B35" s="281" t="s">
        <v>117</v>
      </c>
      <c r="C35" s="281"/>
      <c r="D35" s="281"/>
    </row>
    <row r="36" spans="1:20" x14ac:dyDescent="0.25">
      <c r="B36" s="240" t="s">
        <v>118</v>
      </c>
      <c r="C36" s="243">
        <v>76797</v>
      </c>
    </row>
  </sheetData>
  <mergeCells count="1">
    <mergeCell ref="B35:D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25</vt:i4>
      </vt:variant>
    </vt:vector>
  </HeadingPairs>
  <TitlesOfParts>
    <vt:vector size="27" baseType="lpstr">
      <vt:lpstr>Général</vt:lpstr>
      <vt:lpstr>Détail</vt:lpstr>
      <vt:lpstr>Bi_Jour</vt:lpstr>
      <vt:lpstr>Bi_Nuit</vt:lpstr>
      <vt:lpstr>CG_EN_2019</vt:lpstr>
      <vt:lpstr>CG_EX_NUIT</vt:lpstr>
      <vt:lpstr>CG_J_2019</vt:lpstr>
      <vt:lpstr>CG_JOUR</vt:lpstr>
      <vt:lpstr>CG_N_2019</vt:lpstr>
      <vt:lpstr>CG_NUIT</vt:lpstr>
      <vt:lpstr>CG_NUIT_2019</vt:lpstr>
      <vt:lpstr>CG2_JOUR</vt:lpstr>
      <vt:lpstr>CG2_NUIT</vt:lpstr>
      <vt:lpstr>ExclNuit</vt:lpstr>
      <vt:lpstr>G_2019</vt:lpstr>
      <vt:lpstr>GITE</vt:lpstr>
      <vt:lpstr>JOUR</vt:lpstr>
      <vt:lpstr>JOUR_2020</vt:lpstr>
      <vt:lpstr>MCS_J_2019</vt:lpstr>
      <vt:lpstr>MCS_JOUR</vt:lpstr>
      <vt:lpstr>MCS_N_2019</vt:lpstr>
      <vt:lpstr>MCS_NUIT</vt:lpstr>
      <vt:lpstr>NUIT</vt:lpstr>
      <vt:lpstr>NUIT_2020</vt:lpstr>
      <vt:lpstr>PROD_2018</vt:lpstr>
      <vt:lpstr>PROD_2019</vt:lpstr>
      <vt:lpstr>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2020-12-02T09:47:31Z</dcterms:modified>
</cp:coreProperties>
</file>