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TRIANGLE\AMENAGEMENTS\00-MOI\"/>
    </mc:Choice>
  </mc:AlternateContent>
  <xr:revisionPtr revIDLastSave="0" documentId="13_ncr:1_{6492861D-ED33-4962-A2C0-B797EF9E9240}" xr6:coauthVersionLast="47" xr6:coauthVersionMax="47" xr10:uidLastSave="{00000000-0000-0000-0000-000000000000}"/>
  <bookViews>
    <workbookView xWindow="2490" yWindow="615" windowWidth="26055" windowHeight="14220" xr2:uid="{00000000-000D-0000-FFFF-FFFF00000000}"/>
  </bookViews>
  <sheets>
    <sheet name="Feuil1" sheetId="1" r:id="rId1"/>
  </sheets>
  <definedNames>
    <definedName name="_xlnm.Print_Area" localSheetId="0">Feuil1!$A$1:$R$203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G65" i="1"/>
  <c r="F62" i="1"/>
  <c r="E67" i="1"/>
  <c r="O166" i="1"/>
  <c r="O151" i="1"/>
  <c r="O153" i="1"/>
  <c r="O162" i="1"/>
  <c r="O164" i="1"/>
  <c r="Q123" i="1"/>
  <c r="R123" i="1" s="1"/>
  <c r="E129" i="1"/>
  <c r="H78" i="1"/>
  <c r="F76" i="1"/>
  <c r="L75" i="1" l="1"/>
  <c r="L76" i="1" s="1"/>
  <c r="Q124" i="1"/>
  <c r="F191" i="1"/>
  <c r="G198" i="1" s="1"/>
  <c r="E154" i="1"/>
  <c r="I37" i="1"/>
  <c r="H37" i="1"/>
  <c r="J37" i="1"/>
  <c r="G37" i="1"/>
  <c r="E37" i="1"/>
  <c r="R124" i="1" l="1"/>
  <c r="Q126" i="1"/>
  <c r="J38" i="1"/>
  <c r="J39" i="1" s="1"/>
  <c r="G38" i="1"/>
  <c r="G39" i="1" s="1"/>
  <c r="E38" i="1"/>
  <c r="E39" i="1" s="1"/>
  <c r="H38" i="1"/>
  <c r="H39" i="1" s="1"/>
  <c r="I38" i="1"/>
  <c r="I39" i="1" s="1"/>
  <c r="H104" i="1" l="1"/>
  <c r="H110" i="1"/>
  <c r="I171" i="1" s="1"/>
  <c r="Q127" i="1"/>
  <c r="Q128" i="1" s="1"/>
  <c r="H107" i="1"/>
  <c r="I159" i="1" s="1"/>
  <c r="J159" i="1" s="1"/>
  <c r="F46" i="1"/>
  <c r="F47" i="1" l="1"/>
  <c r="E74" i="1" s="1"/>
  <c r="E70" i="1"/>
  <c r="F70" i="1" s="1"/>
  <c r="H70" i="1" s="1"/>
  <c r="J171" i="1"/>
  <c r="Q129" i="1"/>
  <c r="I166" i="1"/>
  <c r="I165" i="1"/>
  <c r="I164" i="1"/>
  <c r="I161" i="1"/>
  <c r="H112" i="1"/>
  <c r="I135" i="1"/>
  <c r="J135" i="1" s="1"/>
  <c r="I174" i="1" l="1"/>
  <c r="I176" i="1"/>
  <c r="I175" i="1"/>
  <c r="Q130" i="1"/>
  <c r="I144" i="1"/>
  <c r="I143" i="1"/>
  <c r="I152" i="1"/>
  <c r="I140" i="1"/>
  <c r="I151" i="1"/>
  <c r="I139" i="1"/>
  <c r="I150" i="1"/>
  <c r="I138" i="1"/>
  <c r="I148" i="1"/>
  <c r="I137" i="1"/>
  <c r="I146" i="1"/>
  <c r="I145" i="1"/>
  <c r="G62" i="1"/>
  <c r="H62" i="1" s="1"/>
  <c r="F13" i="1"/>
  <c r="F14" i="1" s="1"/>
  <c r="G12" i="1"/>
  <c r="I156" i="1" l="1"/>
  <c r="I168" i="1" s="1"/>
  <c r="I178" i="1" s="1"/>
  <c r="I191" i="1" s="1"/>
  <c r="G195" i="1" s="1"/>
  <c r="Q131" i="1"/>
  <c r="F59" i="1"/>
  <c r="F15" i="1"/>
  <c r="Q132" i="1" l="1"/>
  <c r="Q137" i="1" s="1"/>
  <c r="F74" i="1"/>
  <c r="E92" i="1" s="1"/>
  <c r="F16" i="1"/>
  <c r="G77" i="1" s="1"/>
  <c r="L73" i="1" s="1"/>
  <c r="G59" i="1"/>
  <c r="L72" i="1" s="1"/>
  <c r="E131" i="1" l="1"/>
  <c r="E132" i="1" s="1"/>
  <c r="E153" i="1" s="1"/>
  <c r="E182" i="1" s="1"/>
  <c r="E188" i="1" s="1"/>
  <c r="G47" i="1"/>
  <c r="E91" i="1" s="1"/>
  <c r="F17" i="1"/>
  <c r="H59" i="1"/>
  <c r="G126" i="1" l="1"/>
  <c r="F65" i="1"/>
  <c r="F67" i="1" s="1"/>
  <c r="G127" i="1" l="1"/>
  <c r="G128" i="1" s="1"/>
  <c r="N126" i="1"/>
  <c r="R126" i="1" s="1"/>
  <c r="Q201" i="1"/>
  <c r="Q202" i="1" s="1"/>
  <c r="J138" i="1"/>
  <c r="K138" i="1" s="1"/>
  <c r="K137" i="1"/>
  <c r="L137" i="1" s="1"/>
  <c r="E184" i="1"/>
  <c r="E177" i="1"/>
  <c r="E162" i="1"/>
  <c r="E147" i="1"/>
  <c r="E141" i="1"/>
  <c r="E130" i="1"/>
  <c r="N127" i="1" l="1"/>
  <c r="R127" i="1" s="1"/>
  <c r="L138" i="1"/>
  <c r="G80" i="1"/>
  <c r="H65" i="1"/>
  <c r="J139" i="1"/>
  <c r="E94" i="1"/>
  <c r="G129" i="1" l="1"/>
  <c r="N128" i="1"/>
  <c r="R128" i="1" s="1"/>
  <c r="J140" i="1"/>
  <c r="J142" i="1" s="1"/>
  <c r="K143" i="1" s="1"/>
  <c r="K139" i="1"/>
  <c r="L139" i="1" s="1"/>
  <c r="Q138" i="1" l="1"/>
  <c r="N129" i="1"/>
  <c r="R129" i="1" s="1"/>
  <c r="G130" i="1"/>
  <c r="J143" i="1"/>
  <c r="K144" i="1" s="1"/>
  <c r="K140" i="1"/>
  <c r="L140" i="1" s="1"/>
  <c r="Q139" i="1" l="1"/>
  <c r="G131" i="1"/>
  <c r="N130" i="1"/>
  <c r="R130" i="1" s="1"/>
  <c r="L143" i="1"/>
  <c r="J144" i="1"/>
  <c r="J145" i="1" s="1"/>
  <c r="Q140" i="1" l="1"/>
  <c r="L144" i="1"/>
  <c r="G132" i="1"/>
  <c r="N137" i="1" s="1"/>
  <c r="N131" i="1"/>
  <c r="R131" i="1" s="1"/>
  <c r="K145" i="1"/>
  <c r="J146" i="1"/>
  <c r="K146" i="1"/>
  <c r="L145" i="1" l="1"/>
  <c r="L146" i="1" s="1"/>
  <c r="Q141" i="1"/>
  <c r="G141" i="1"/>
  <c r="N144" i="1" s="1"/>
  <c r="N132" i="1"/>
  <c r="R132" i="1" s="1"/>
  <c r="R137" i="1"/>
  <c r="N138" i="1"/>
  <c r="R138" i="1" s="1"/>
  <c r="N139" i="1"/>
  <c r="R139" i="1" s="1"/>
  <c r="N140" i="1"/>
  <c r="R140" i="1" s="1"/>
  <c r="J149" i="1"/>
  <c r="K148" i="1"/>
  <c r="Q143" i="1" l="1"/>
  <c r="G147" i="1"/>
  <c r="G153" i="1" s="1"/>
  <c r="G154" i="1" s="1"/>
  <c r="G155" i="1" s="1"/>
  <c r="G162" i="1" s="1"/>
  <c r="G167" i="1" s="1"/>
  <c r="N141" i="1"/>
  <c r="R141" i="1" s="1"/>
  <c r="N143" i="1"/>
  <c r="N146" i="1"/>
  <c r="N145" i="1"/>
  <c r="L148" i="1"/>
  <c r="K150" i="1"/>
  <c r="J150" i="1"/>
  <c r="G177" i="1" l="1"/>
  <c r="G182" i="1" s="1"/>
  <c r="N147" i="1"/>
  <c r="N148" i="1"/>
  <c r="Q144" i="1"/>
  <c r="R143" i="1"/>
  <c r="L150" i="1"/>
  <c r="N150" i="1" s="1"/>
  <c r="J151" i="1"/>
  <c r="K151" i="1"/>
  <c r="K152" i="1" l="1"/>
  <c r="J152" i="1"/>
  <c r="J156" i="1" s="1"/>
  <c r="J161" i="1" s="1"/>
  <c r="R144" i="1"/>
  <c r="Q145" i="1"/>
  <c r="L151" i="1"/>
  <c r="N151" i="1" s="1"/>
  <c r="Q146" i="1" l="1"/>
  <c r="R145" i="1"/>
  <c r="L152" i="1"/>
  <c r="N156" i="1" s="1"/>
  <c r="L156" i="1" l="1"/>
  <c r="Q147" i="1"/>
  <c r="R146" i="1"/>
  <c r="N154" i="1"/>
  <c r="N152" i="1"/>
  <c r="N153" i="1"/>
  <c r="Q148" i="1" l="1"/>
  <c r="Q150" i="1" s="1"/>
  <c r="Q151" i="1" s="1"/>
  <c r="Q152" i="1" s="1"/>
  <c r="Q153" i="1" s="1"/>
  <c r="Q154" i="1" s="1"/>
  <c r="Q156" i="1" s="1"/>
  <c r="R156" i="1" s="1"/>
  <c r="R147" i="1"/>
  <c r="K161" i="1"/>
  <c r="L161" i="1" s="1"/>
  <c r="J163" i="1"/>
  <c r="R148" i="1" l="1"/>
  <c r="N161" i="1"/>
  <c r="N162" i="1"/>
  <c r="K164" i="1"/>
  <c r="L164" i="1" s="1"/>
  <c r="N164" i="1" s="1"/>
  <c r="J164" i="1"/>
  <c r="R150" i="1" l="1"/>
  <c r="K165" i="1"/>
  <c r="L165" i="1" s="1"/>
  <c r="N165" i="1" s="1"/>
  <c r="J165" i="1"/>
  <c r="Q161" i="1" l="1"/>
  <c r="Q162" i="1" s="1"/>
  <c r="Q163" i="1" s="1"/>
  <c r="Q164" i="1" s="1"/>
  <c r="Q165" i="1" s="1"/>
  <c r="Q166" i="1" s="1"/>
  <c r="R151" i="1"/>
  <c r="J166" i="1"/>
  <c r="K166" i="1"/>
  <c r="L166" i="1" s="1"/>
  <c r="N168" i="1" s="1"/>
  <c r="Q168" i="1" l="1"/>
  <c r="R168" i="1" s="1"/>
  <c r="Q174" i="1"/>
  <c r="Q175" i="1" s="1"/>
  <c r="N166" i="1"/>
  <c r="L168" i="1"/>
  <c r="J168" i="1"/>
  <c r="J173" i="1" s="1"/>
  <c r="J174" i="1" s="1"/>
  <c r="K174" i="1"/>
  <c r="L174" i="1" s="1"/>
  <c r="R152" i="1"/>
  <c r="Q177" i="1" l="1"/>
  <c r="Q176" i="1"/>
  <c r="Q182" i="1" s="1"/>
  <c r="K175" i="1"/>
  <c r="J175" i="1"/>
  <c r="R153" i="1"/>
  <c r="J176" i="1"/>
  <c r="K176" i="1"/>
  <c r="R154" i="1" l="1"/>
  <c r="L175" i="1"/>
  <c r="N175" i="1" s="1"/>
  <c r="N174" i="1"/>
  <c r="L176" i="1" l="1"/>
  <c r="N182" i="1" l="1"/>
  <c r="N176" i="1"/>
  <c r="L178" i="1"/>
  <c r="L191" i="1" s="1"/>
  <c r="K191" i="1" s="1"/>
  <c r="G196" i="1" s="1"/>
  <c r="N177" i="1"/>
  <c r="R177" i="1" s="1"/>
  <c r="E95" i="1" l="1"/>
  <c r="G95" i="1" s="1"/>
  <c r="G96" i="1" s="1"/>
  <c r="E96" i="1" s="1"/>
  <c r="E183" i="1" s="1"/>
  <c r="E191" i="1" s="1"/>
  <c r="G197" i="1" s="1"/>
  <c r="G199" i="1" s="1"/>
  <c r="Q195" i="1" s="1"/>
  <c r="Q199" i="1" s="1"/>
  <c r="F69" i="1"/>
  <c r="H69" i="1" s="1"/>
  <c r="F48" i="1"/>
  <c r="E69" i="1" s="1"/>
  <c r="E75" i="1" s="1"/>
  <c r="F75" i="1" s="1"/>
  <c r="F49" i="1" l="1"/>
  <c r="G49" i="1" s="1"/>
  <c r="R161" i="1"/>
  <c r="E98" i="1"/>
  <c r="G183" i="1"/>
  <c r="N183" i="1" s="1"/>
  <c r="F77" i="1"/>
  <c r="H77" i="1" s="1"/>
  <c r="G75" i="1"/>
  <c r="I95" i="1"/>
  <c r="H81" i="1" l="1"/>
  <c r="G82" i="1" s="1"/>
  <c r="R162" i="1"/>
  <c r="G184" i="1"/>
  <c r="N184" i="1" s="1"/>
  <c r="R164" i="1" l="1"/>
  <c r="G185" i="1"/>
  <c r="N185" i="1" s="1"/>
  <c r="N188" i="1" s="1"/>
  <c r="R165" i="1" l="1"/>
  <c r="G188" i="1"/>
  <c r="R166" i="1" l="1"/>
  <c r="G191" i="1"/>
  <c r="R174" i="1" l="1"/>
  <c r="R175" i="1" l="1"/>
  <c r="R176" i="1" l="1"/>
  <c r="R182" i="1" l="1"/>
  <c r="Q183" i="1"/>
  <c r="Q184" i="1" s="1"/>
  <c r="Q185" i="1" l="1"/>
  <c r="R185" i="1" s="1"/>
  <c r="R183" i="1"/>
  <c r="R184" i="1" l="1"/>
  <c r="Q188" i="1" l="1"/>
  <c r="R188" i="1" l="1"/>
  <c r="Q189" i="1"/>
  <c r="Q190" i="1" l="1"/>
  <c r="R190" i="1" s="1"/>
  <c r="R189" i="1"/>
</calcChain>
</file>

<file path=xl/sharedStrings.xml><?xml version="1.0" encoding="utf-8"?>
<sst xmlns="http://schemas.openxmlformats.org/spreadsheetml/2006/main" count="281" uniqueCount="251">
  <si>
    <r>
      <t>A.S.B.L. LE TRIANGLE</t>
    </r>
    <r>
      <rPr>
        <sz val="11"/>
        <color theme="1"/>
        <rFont val="Tahoma"/>
        <family val="2"/>
      </rPr>
      <t xml:space="preserve"> </t>
    </r>
  </si>
  <si>
    <t>Maison d’Accueil Agréée</t>
  </si>
  <si>
    <t>Résidence Sociale Le TRIANGLE</t>
  </si>
  <si>
    <t>6032 MONT-SUR-MARCHIENNE Rue du Beau Site 28</t>
  </si>
  <si>
    <t>TRAVAUX</t>
  </si>
  <si>
    <t>HONORAIRES architecte</t>
  </si>
  <si>
    <t>HONORAIRES CSS</t>
  </si>
  <si>
    <t>Date</t>
  </si>
  <si>
    <t>Objet</t>
  </si>
  <si>
    <t>Architecte - Esquisse</t>
  </si>
  <si>
    <t>Architecte - Avant-projet</t>
  </si>
  <si>
    <t>Il n'est pas tenu compte des honoraires payés à FOLY Constant Consulting (assistance lors des désignations architecte et CSS).</t>
  </si>
  <si>
    <t>Architecte - urbanisme</t>
  </si>
  <si>
    <t>Architecte - Dossier exéc.</t>
  </si>
  <si>
    <t>Architecte - Analyse offres</t>
  </si>
  <si>
    <t>Architecte 50% travaux</t>
  </si>
  <si>
    <t>Architecte - Récep.Prov.</t>
  </si>
  <si>
    <t>CSS - 1 - Projet</t>
  </si>
  <si>
    <t>CSS - 20% chantier</t>
  </si>
  <si>
    <t>CSS - DIU</t>
  </si>
  <si>
    <t>Honoraires</t>
  </si>
  <si>
    <t>Travaux</t>
  </si>
  <si>
    <t>Coeff. Rév. Prix</t>
  </si>
  <si>
    <t>Avec Rév. Prix</t>
  </si>
  <si>
    <t>Total travaux</t>
  </si>
  <si>
    <t>Total honoraires</t>
  </si>
  <si>
    <t>FIN TRAVAUX - RECEPTION PROVISOIRE</t>
  </si>
  <si>
    <t>Après réception provisoire</t>
  </si>
  <si>
    <t>Révisions de prix, TVAC</t>
  </si>
  <si>
    <t>TOTAL</t>
  </si>
  <si>
    <t>SUPPOSITION</t>
  </si>
  <si>
    <t>Hon. architecte / révisions de prix</t>
  </si>
  <si>
    <t>TVAC 21%</t>
  </si>
  <si>
    <t>TVAC 6% hors révision de prix légale</t>
  </si>
  <si>
    <t>TVAC 6 et 21%</t>
  </si>
  <si>
    <t>TVAC 6%</t>
  </si>
  <si>
    <t>hors TVA</t>
  </si>
  <si>
    <t>Le montant total réservé est de 1.800.000,00 € TVA comprise</t>
  </si>
  <si>
    <r>
      <t xml:space="preserve">Travaux </t>
    </r>
    <r>
      <rPr>
        <u/>
        <sz val="11"/>
        <color theme="1"/>
        <rFont val="Calibri"/>
        <family val="2"/>
        <scheme val="minor"/>
      </rPr>
      <t>subventionnés</t>
    </r>
    <r>
      <rPr>
        <sz val="11"/>
        <color theme="1"/>
        <rFont val="Calibri"/>
        <family val="2"/>
        <scheme val="minor"/>
      </rPr>
      <t xml:space="preserve"> TVA comprise</t>
    </r>
  </si>
  <si>
    <t xml:space="preserve"> + frais gén. 5% sur subsides</t>
  </si>
  <si>
    <t>pour honoraires architecte et CSS</t>
  </si>
  <si>
    <t>Montant total du subside =</t>
  </si>
  <si>
    <t>UREBA</t>
  </si>
  <si>
    <t>CAP 48</t>
  </si>
  <si>
    <t>Depuis notre réunion du 20/04/2023 à CAP48,  nous pouvons envisager une possibilité assez forte de pouvoir introduire une demande de prise en charge de travaux pour une somme maximale de 200.000 € (subsides 100%).</t>
  </si>
  <si>
    <t>Sur base de ces éléments, on peut envisager le scénario suivant</t>
  </si>
  <si>
    <t>Total</t>
  </si>
  <si>
    <t>Réserve de 5% prise pour 'surprises de chantier'</t>
  </si>
  <si>
    <t xml:space="preserve">Total travaux hors révision </t>
  </si>
  <si>
    <t xml:space="preserve">Révisions de prix en cours de chantier ± </t>
  </si>
  <si>
    <t xml:space="preserve">TOTAL HORS TVA (travaux + révision de prix) </t>
  </si>
  <si>
    <t>Travaux HTVA</t>
  </si>
  <si>
    <t>Travaux TVAC 6%</t>
  </si>
  <si>
    <r>
      <t xml:space="preserve">Subside </t>
    </r>
    <r>
      <rPr>
        <b/>
        <sz val="11"/>
        <color theme="1"/>
        <rFont val="Calibri"/>
        <family val="2"/>
        <scheme val="minor"/>
      </rPr>
      <t>90%</t>
    </r>
  </si>
  <si>
    <t>SOLDE ASBL</t>
  </si>
  <si>
    <t>1. SUBSIDES EUROPEENS</t>
  </si>
  <si>
    <r>
      <t xml:space="preserve">Subside </t>
    </r>
    <r>
      <rPr>
        <b/>
        <sz val="11"/>
        <color theme="1"/>
        <rFont val="Calibri"/>
        <family val="2"/>
        <scheme val="minor"/>
      </rPr>
      <t>100%</t>
    </r>
  </si>
  <si>
    <t xml:space="preserve">   Coordinateur sécurité santé</t>
  </si>
  <si>
    <t>MONTANT TOTAL A FINANCER PAR L'ASBL</t>
  </si>
  <si>
    <t>TOTAL TRAVAUX + SUBSIDES + HON.</t>
  </si>
  <si>
    <t>CALCUL GLOBAL DE LA DEPENSE : TRAVAUX - Révison des prix - HONORAIRES - TVA</t>
  </si>
  <si>
    <r>
      <t xml:space="preserve">Cela correspond à un </t>
    </r>
    <r>
      <rPr>
        <b/>
        <sz val="11"/>
        <color theme="1"/>
        <rFont val="Calibri"/>
        <family val="2"/>
        <scheme val="minor"/>
      </rPr>
      <t>montant minimum de travaux</t>
    </r>
    <r>
      <rPr>
        <sz val="11"/>
        <color theme="1"/>
        <rFont val="Calibri"/>
        <family val="2"/>
        <scheme val="minor"/>
      </rPr>
      <t xml:space="preserve"> de </t>
    </r>
  </si>
  <si>
    <t>Hors TVA</t>
  </si>
  <si>
    <t>Hon. HTVA</t>
  </si>
  <si>
    <t>Hon. TVAC 21%</t>
  </si>
  <si>
    <t xml:space="preserve"> RECEPTION DEFINITIVE</t>
  </si>
  <si>
    <t>Architecte - Sur révision de prix</t>
  </si>
  <si>
    <t>Le Triangle</t>
  </si>
  <si>
    <t>Architecte - Récep.Définitive</t>
  </si>
  <si>
    <t>Montant du subside =  90% soit hors TVA</t>
  </si>
  <si>
    <t>TVA 6% sur montant des subsidessubsidié</t>
  </si>
  <si>
    <t>Total du subside TVA Comprise</t>
  </si>
  <si>
    <t>TVA et Frais Généraux compris</t>
  </si>
  <si>
    <t>Ces travaux doivent être distincts de ceux éligibles aux subsides européens ou UREBA (ou tout autre).</t>
  </si>
  <si>
    <t xml:space="preserve">  </t>
  </si>
  <si>
    <t>TVAC 21% hors montant de la révision de prix légale</t>
  </si>
  <si>
    <r>
      <t xml:space="preserve">C'est évidemment une vue toute théorique car le paiement des travaux se fait en fonction de ce qui est </t>
    </r>
    <r>
      <rPr>
        <b/>
        <u/>
        <sz val="11"/>
        <color theme="1"/>
        <rFont val="Calibri"/>
        <family val="2"/>
        <scheme val="minor"/>
      </rPr>
      <t>réellement réalisé</t>
    </r>
    <r>
      <rPr>
        <b/>
        <sz val="11"/>
        <color theme="1"/>
        <rFont val="Calibri"/>
        <family val="2"/>
        <scheme val="minor"/>
      </rPr>
      <t>.</t>
    </r>
  </si>
  <si>
    <t>Cette section tente de visualiser les besoins en trésorerie tout au long des études et du chantier</t>
  </si>
  <si>
    <t>L'estimation globale du coût des travaux, selon l'avant-projet présenté le 11/07/2023 (Réunion plénière d'avant-projet) s'étalit comme suit :</t>
  </si>
  <si>
    <t>TRAVAUX HTVA</t>
  </si>
  <si>
    <t>LOGEMENTS</t>
  </si>
  <si>
    <t>COMMUNS</t>
  </si>
  <si>
    <t>TRAVAUX D'ARCHITECTURE</t>
  </si>
  <si>
    <t>TRAVAUX DE TECHNIQUES SPECIALES</t>
  </si>
  <si>
    <t>TOTAUX HORS TVA</t>
  </si>
  <si>
    <t xml:space="preserve">TVA </t>
  </si>
  <si>
    <t xml:space="preserve">    Architecte (9%, y compris la marge de 5% sur travaux)</t>
  </si>
  <si>
    <t>On suppose ici que les travaux seront facturés au prorata du temps de chantier  écoulé, par phase de travaux.</t>
  </si>
  <si>
    <t>Phase 1</t>
  </si>
  <si>
    <r>
      <rPr>
        <b/>
        <sz val="11"/>
        <color theme="1"/>
        <rFont val="Calibri"/>
        <family val="2"/>
        <scheme val="minor"/>
      </rPr>
      <t>Logements</t>
    </r>
    <r>
      <rPr>
        <sz val="11"/>
        <color theme="1"/>
        <rFont val="Calibri"/>
        <family val="2"/>
        <scheme val="minor"/>
      </rPr>
      <t xml:space="preserve"> + travaux généraux nécessaires, pour une estimation de </t>
    </r>
  </si>
  <si>
    <t>Phase 2</t>
  </si>
  <si>
    <t>4 mois</t>
  </si>
  <si>
    <r>
      <rPr>
        <b/>
        <sz val="11"/>
        <color theme="1"/>
        <rFont val="Calibri"/>
        <family val="2"/>
        <scheme val="minor"/>
      </rPr>
      <t>Abri de nuit</t>
    </r>
    <r>
      <rPr>
        <sz val="11"/>
        <color theme="1"/>
        <rFont val="Calibri"/>
        <family val="2"/>
        <scheme val="minor"/>
      </rPr>
      <t xml:space="preserve"> et </t>
    </r>
    <r>
      <rPr>
        <b/>
        <sz val="11"/>
        <color theme="1"/>
        <rFont val="Calibri"/>
        <family val="2"/>
        <scheme val="minor"/>
      </rPr>
      <t>accueil de jour</t>
    </r>
    <r>
      <rPr>
        <sz val="11"/>
        <color theme="1"/>
        <rFont val="Calibri"/>
        <family val="2"/>
        <scheme val="minor"/>
      </rPr>
      <t xml:space="preserve"> + partie travaux généraux</t>
    </r>
  </si>
  <si>
    <t>Phase 3</t>
  </si>
  <si>
    <r>
      <t>Locaux communs</t>
    </r>
    <r>
      <rPr>
        <sz val="11"/>
        <color theme="1"/>
        <rFont val="Calibri"/>
        <family val="2"/>
        <scheme val="minor"/>
      </rPr>
      <t xml:space="preserve"> + tous parachèvements</t>
    </r>
  </si>
  <si>
    <t>Suspension pour déménagement dans les nouveaux logements</t>
  </si>
  <si>
    <t>1/2 mois</t>
  </si>
  <si>
    <t>Suspension pour aménagement abri de nuit et accueil de jour</t>
  </si>
  <si>
    <t>(FFT)</t>
  </si>
  <si>
    <t xml:space="preserve">     ( = 2.290.945,57- 1.796.945,20 - 188.679,25)</t>
  </si>
  <si>
    <t>Pour cete prévision de trésorerie, je considère une durée de travaux de 24 mois.</t>
  </si>
  <si>
    <t>Travaux phase 1</t>
  </si>
  <si>
    <t>Etat mensuel</t>
  </si>
  <si>
    <t>TVAC</t>
  </si>
  <si>
    <t>Phase 1 - Mois 1</t>
  </si>
  <si>
    <t>Phase 1 - Mois 2</t>
  </si>
  <si>
    <t>Phase 1 - Mois 3</t>
  </si>
  <si>
    <t>Phase 1 - Mois 4</t>
  </si>
  <si>
    <t>Phase 1 - Mois 5</t>
  </si>
  <si>
    <t>Phase 1 - Mois 6</t>
  </si>
  <si>
    <t>Phase 1 - Mois 7</t>
  </si>
  <si>
    <t>Phase 1 - Mois 8</t>
  </si>
  <si>
    <t>Phase 1 - Mois 9</t>
  </si>
  <si>
    <t>Phase 1 - Mois 10</t>
  </si>
  <si>
    <t>Phase 1 - Mois 11</t>
  </si>
  <si>
    <t>Phase 1 - Mois 12</t>
  </si>
  <si>
    <t>Travaux phase 2</t>
  </si>
  <si>
    <t>Phase 2 - Mois 1</t>
  </si>
  <si>
    <t>AVANT TRAVAUX - PHASE ETUDES et travaux préalables</t>
  </si>
  <si>
    <t>TRAVAUX - PHASE 3 - Durée estimée à 4 mois</t>
  </si>
  <si>
    <r>
      <rPr>
        <b/>
        <sz val="11"/>
        <color theme="1"/>
        <rFont val="Calibri"/>
        <family val="2"/>
        <scheme val="minor"/>
      </rPr>
      <t>TRIANGLE</t>
    </r>
    <r>
      <rPr>
        <sz val="11"/>
        <color theme="1"/>
        <rFont val="Calibri"/>
        <family val="2"/>
        <scheme val="minor"/>
      </rPr>
      <t xml:space="preserve"> Equipement mobilier des nouveaux logements</t>
    </r>
  </si>
  <si>
    <t xml:space="preserve">TRIANGLE Aménagements provisoires au sous-sol </t>
  </si>
  <si>
    <r>
      <t>TRIANGLE Eq</t>
    </r>
    <r>
      <rPr>
        <sz val="11"/>
        <color theme="1"/>
        <rFont val="Calibri"/>
        <family val="2"/>
        <scheme val="minor"/>
      </rPr>
      <t>uip. mobilier Abri de nuit et Accueil de jour</t>
    </r>
  </si>
  <si>
    <t>Phase 2 - Mois 2</t>
  </si>
  <si>
    <t>Phase 2 - Mois 3</t>
  </si>
  <si>
    <t>Phase 2 - Mois 4</t>
  </si>
  <si>
    <t>Travaux phase 3</t>
  </si>
  <si>
    <t>Phase 3 - Mois 1</t>
  </si>
  <si>
    <t>Phase 3 - Mois 2</t>
  </si>
  <si>
    <t>Phase 3 - Mois 3</t>
  </si>
  <si>
    <t>Total autres</t>
  </si>
  <si>
    <t>Cumul travaux</t>
  </si>
  <si>
    <t>CUMULS</t>
  </si>
  <si>
    <t>Total des Rév.Prix</t>
  </si>
  <si>
    <t>Travaux + Rév.</t>
  </si>
  <si>
    <t>RESUME des montants TVAC</t>
  </si>
  <si>
    <t>Révisions de prix</t>
  </si>
  <si>
    <t>Dépenses asbl</t>
  </si>
  <si>
    <t>DEPENSES AUTRES QUE TRAVAUX</t>
  </si>
  <si>
    <t>Cumul</t>
  </si>
  <si>
    <t>TRAVAUX ET REVISION DES PRIX</t>
  </si>
  <si>
    <t>Etat mensuel ì</t>
  </si>
  <si>
    <t>Etat mensuel ±</t>
  </si>
  <si>
    <t>TRIANGLE Equipement bureaux, salles éduc, salle commune</t>
  </si>
  <si>
    <t>Total asbl</t>
  </si>
  <si>
    <t>RECAPITULATIF GLOBAL DE LA DEPENSE</t>
  </si>
  <si>
    <t>Travaux et frais  Asbl</t>
  </si>
  <si>
    <t>Travaux préalables et mobilier (asbl)</t>
  </si>
  <si>
    <t>PRISE EN CHARGE DU BUDGET</t>
  </si>
  <si>
    <t>Montant total</t>
  </si>
  <si>
    <t>Subsides PRR Europe</t>
  </si>
  <si>
    <t>Prise en charge par l'asbl Le Triangle</t>
  </si>
  <si>
    <t>DON du propriétaire</t>
  </si>
  <si>
    <t>SOLDE A FINANCER</t>
  </si>
  <si>
    <t>Subsides UREBA possibles</t>
  </si>
  <si>
    <t>DON envisagé de CAP48</t>
  </si>
  <si>
    <t>Suspension pour emménagement dans  nouveaux logements</t>
  </si>
  <si>
    <t>CUMUL DEPENSES</t>
  </si>
  <si>
    <t>RECETTES</t>
  </si>
  <si>
    <t>CUMUL RECETTES</t>
  </si>
  <si>
    <t>SOLDE</t>
  </si>
  <si>
    <t>TRESORERIE EN COURS DE CHANTIER</t>
  </si>
  <si>
    <t>Origine</t>
  </si>
  <si>
    <t>Propriétaire</t>
  </si>
  <si>
    <t>RECETTE 1</t>
  </si>
  <si>
    <t>RECETTE 2</t>
  </si>
  <si>
    <t>RECETTE 3</t>
  </si>
  <si>
    <t>AVANCE REMB.</t>
  </si>
  <si>
    <t>RECETTE 4</t>
  </si>
  <si>
    <t>Subs. RW/Europe</t>
  </si>
  <si>
    <t>Remb. Avance</t>
  </si>
  <si>
    <t>Subside forfait.</t>
  </si>
  <si>
    <t>Frais généraux</t>
  </si>
  <si>
    <t>Paiement après tous travaux</t>
  </si>
  <si>
    <t>(avance de fonds nécessaire)</t>
  </si>
  <si>
    <t>selon contrat forfaitaire 9% tout compris (Architecture, stabilité, techn. Spéc., PEB)</t>
  </si>
  <si>
    <t>selon contrat à prix forfaitaire pour la mission complète.</t>
  </si>
  <si>
    <t>Total des honoraires</t>
  </si>
  <si>
    <t>ESTIMATION GLOBALE suivant avant-projet du 11/07/2023</t>
  </si>
  <si>
    <t>Total TVAC</t>
  </si>
  <si>
    <t>La répartition par service est approximative car les données d'avant-projet ne permettent pas plus de précisions.</t>
  </si>
  <si>
    <t>Répartition :</t>
  </si>
  <si>
    <t>Abri de nuit</t>
  </si>
  <si>
    <t>Accueil de jour</t>
  </si>
  <si>
    <t>Ces données de répartition ne sont utilisées que pour évaluer les dépenses au cours des différentes phases du projet.</t>
  </si>
  <si>
    <r>
      <rPr>
        <b/>
        <sz val="11"/>
        <color theme="1"/>
        <rFont val="Calibri"/>
        <family val="2"/>
        <scheme val="minor"/>
      </rPr>
      <t xml:space="preserve">Montant total des </t>
    </r>
    <r>
      <rPr>
        <b/>
        <u/>
        <sz val="11"/>
        <color theme="1"/>
        <rFont val="Calibri"/>
        <family val="2"/>
        <scheme val="minor"/>
      </rPr>
      <t>TRAVAUX</t>
    </r>
    <r>
      <rPr>
        <b/>
        <sz val="11"/>
        <color theme="1"/>
        <rFont val="Calibri"/>
        <family val="2"/>
        <scheme val="minor"/>
      </rPr>
      <t xml:space="preserve"> envisagés </t>
    </r>
    <r>
      <rPr>
        <sz val="11"/>
        <color theme="1"/>
        <rFont val="Calibri"/>
        <family val="2"/>
        <scheme val="minor"/>
      </rPr>
      <t>(selon tableau ci-dessus)</t>
    </r>
  </si>
  <si>
    <t>(voir calcul et résultat ci-dessous)</t>
  </si>
  <si>
    <t>TVA Comprise</t>
  </si>
  <si>
    <t xml:space="preserve">Certains subsides doivent correspondre à des travaux bien spécifiés, comme par exemple : </t>
  </si>
  <si>
    <t>1. La prise en charge dans le cadre des subsides RW/européens s'établit comme suit</t>
  </si>
  <si>
    <t>2. Autres subsides envisagés à ce jour</t>
  </si>
  <si>
    <t>4. REPARTITION DES SUBSIDES</t>
  </si>
  <si>
    <t>Région Wallonne/Europe  1.800.000 €, soit 90% sur des travaux bien spécifiés suivant point 1 ci-dessu + forfait frais générauxs.</t>
  </si>
  <si>
    <t>CAP 48 :  ± 200,000 €, soit 100% sur base de travaux bien spécifiés.</t>
  </si>
  <si>
    <t>4. Révision de prix sur travaux (voir calcul ci-dessous)</t>
  </si>
  <si>
    <t>ECHEANCIER DES PAIEMENTS TVA Comprise</t>
  </si>
  <si>
    <t>5. FRAIS GENERAUX (architecte + CSS)</t>
  </si>
  <si>
    <t>6. Frais de l'asbl LE TRIANGLE (voir détail dans tableau ci-dessous)</t>
  </si>
  <si>
    <t>Outre le financement net, un point doit attirer notre attention.</t>
  </si>
  <si>
    <t>Vu le mode de délivrance des subsides par la R.W., une avance de fond sera nécessaire en cours de travaux. Cette avance sera remboursée dès réception du solde des subsides.</t>
  </si>
  <si>
    <t>Paiement des SUBSIDE RW/Europe dans le cadre du PRR</t>
  </si>
  <si>
    <t>Total du subside</t>
  </si>
  <si>
    <r>
      <t>Paiement début travaux :</t>
    </r>
    <r>
      <rPr>
        <b/>
        <sz val="11"/>
        <color theme="1"/>
        <rFont val="Calibri"/>
        <family val="2"/>
        <scheme val="minor"/>
      </rPr>
      <t xml:space="preserve"> 70%</t>
    </r>
  </si>
  <si>
    <t>(= parties 'ADNs+ 'ADJ'' + 20% de la partie 'Communs')</t>
  </si>
  <si>
    <t>Délais</t>
  </si>
  <si>
    <t>Congés</t>
  </si>
  <si>
    <t>2 mois</t>
  </si>
  <si>
    <t>1 mois</t>
  </si>
  <si>
    <t>Total 1</t>
  </si>
  <si>
    <t>Total du délai global</t>
  </si>
  <si>
    <t>Non compris honoraires consultant FOLY</t>
  </si>
  <si>
    <t xml:space="preserve"> -&gt; 25%</t>
  </si>
  <si>
    <t xml:space="preserve"> -&gt; 35%</t>
  </si>
  <si>
    <t xml:space="preserve"> -&gt; 45%</t>
  </si>
  <si>
    <t xml:space="preserve"> -&gt; 55%</t>
  </si>
  <si>
    <t xml:space="preserve"> -&gt; 80%</t>
  </si>
  <si>
    <t xml:space="preserve"> -&gt; 95%</t>
  </si>
  <si>
    <t xml:space="preserve"> -&gt; 100%</t>
  </si>
  <si>
    <t>(déjà fait)</t>
  </si>
  <si>
    <t>(en septembre)</t>
  </si>
  <si>
    <t>Les subsides doivent payer précisément les travaux qui seront décrits dans la demande, qui doit être introduite chez CAP48.</t>
  </si>
  <si>
    <t>(= partie 'Logements' + 20% de la partie 'Communs')</t>
  </si>
  <si>
    <t>(= 60% de la partie 'Communs')</t>
  </si>
  <si>
    <t>12 mois</t>
  </si>
  <si>
    <t>3 mois</t>
  </si>
  <si>
    <t>20 mois</t>
  </si>
  <si>
    <t>25 mois</t>
  </si>
  <si>
    <r>
      <t>Sur cette base, les travaux débutant en 03/2024, la fin des travaux serait en 04/2026</t>
    </r>
    <r>
      <rPr>
        <sz val="11"/>
        <color theme="1"/>
        <rFont val="Calibri"/>
        <family val="2"/>
        <scheme val="minor"/>
      </rPr>
      <t>, ce qui laisse un peu de marge par rapport à la deadline au 31/08/2026.</t>
    </r>
  </si>
  <si>
    <t>CONGES</t>
  </si>
  <si>
    <t>Fin d'année</t>
  </si>
  <si>
    <t>TRAVAUX - PHASE 2 - Durée estimée à 4 mois</t>
  </si>
  <si>
    <t>TRAVAUX - PHASE 1 - Durée estimée à 12 mois</t>
  </si>
  <si>
    <t>Suspension pour emménagement dans  abri de nuit et accueil de jour</t>
  </si>
  <si>
    <t>Possibilité de subsides UREBA en fonction des travaux retenus (travaux à visée bas carbone)</t>
  </si>
  <si>
    <t xml:space="preserve"> + frais d'étude (architecte et C.S.S.)</t>
  </si>
  <si>
    <t>UREBA :forfaits ou % sur des travaux bien spécifiés, ne faisant pas encore l'objet d'autres subsides</t>
  </si>
  <si>
    <t>Les soldes non subsidiés (10% RW, UREBA) + les révisions de prix légales +  l'essentiel des frais d'étude doivent trouver d'autres sources de financement..</t>
  </si>
  <si>
    <r>
      <rPr>
        <b/>
        <u/>
        <sz val="10"/>
        <color theme="1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>otal des travaux  hors réseerve 5%=</t>
    </r>
  </si>
  <si>
    <t>5. Réserve de 5% pour risques de soumis. et de chantier=</t>
  </si>
  <si>
    <r>
      <t>Subside</t>
    </r>
    <r>
      <rPr>
        <b/>
        <sz val="11"/>
        <color theme="1"/>
        <rFont val="Calibri"/>
        <family val="2"/>
        <scheme val="minor"/>
      </rPr>
      <t xml:space="preserve"> espéré</t>
    </r>
  </si>
  <si>
    <t>Total archi</t>
  </si>
  <si>
    <t>D'autres demandes sont en cours mais non encore formalisées.</t>
  </si>
  <si>
    <t>SOLDE certain à ce jour</t>
  </si>
  <si>
    <r>
      <t>3. SUBSIDES UREBA</t>
    </r>
    <r>
      <rPr>
        <b/>
        <sz val="11"/>
        <color theme="1"/>
        <rFont val="Calibri"/>
        <family val="2"/>
        <scheme val="minor"/>
      </rPr>
      <t xml:space="preserve"> sur les postes retenus</t>
    </r>
  </si>
  <si>
    <t xml:space="preserve">    Architecte, sur révisions de prix (9% de 116,101,10 €)</t>
  </si>
  <si>
    <t>MAX = 1.796.945?20 € --&gt; réserve de 31.053,38 HTVA</t>
  </si>
  <si>
    <t>SCENARIO AU 28/08/2023</t>
  </si>
  <si>
    <t>3. SCENARIO ENVISAGE au28/08/2023 - sur base de l'estimation sur AVANT-PROJET</t>
  </si>
  <si>
    <t>2. DON CAP 48</t>
  </si>
  <si>
    <t>MONTANT TOTAL DES DONS &amp; SUBSIDES</t>
  </si>
  <si>
    <t xml:space="preserve">TABLEAU DES DEPENSES PREVISIBLES (TVAC) ET TRESORERIE EN COURS DE CHANTIER - Scénario au 28/08/2023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</si>
</sst>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00\ &quot;€&quot;_-;\-* #,##0.0000\ &quot;€&quot;_-;_-* &quot;-&quot;??\ &quot;€&quot;_-;_-@_-"/>
    <numFmt numFmtId="165" formatCode="0.0000"/>
    <numFmt numFmtId="166" formatCode="#,##0.00\ &quot;€&quot;"/>
    <numFmt numFmtId="167" formatCode="0.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,Bold"/>
    </font>
    <font>
      <sz val="11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i/>
      <sz val="9.5"/>
      <color theme="1"/>
      <name val="Tahoma,BoldItalic"/>
    </font>
    <font>
      <sz val="9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8" fillId="0" borderId="0" xfId="0" applyFont="1"/>
    <xf numFmtId="0" fontId="4" fillId="0" borderId="0" xfId="0" applyFont="1" applyAlignment="1">
      <alignment vertical="center"/>
    </xf>
    <xf numFmtId="44" fontId="0" fillId="0" borderId="0" xfId="1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44" fontId="8" fillId="0" borderId="0" xfId="1" applyFont="1"/>
    <xf numFmtId="44" fontId="2" fillId="0" borderId="0" xfId="1" applyFont="1"/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left"/>
    </xf>
    <xf numFmtId="0" fontId="2" fillId="2" borderId="3" xfId="0" applyFont="1" applyFill="1" applyBorder="1"/>
    <xf numFmtId="44" fontId="11" fillId="0" borderId="0" xfId="1" applyFont="1" applyFill="1"/>
    <xf numFmtId="0" fontId="11" fillId="0" borderId="0" xfId="0" applyFont="1"/>
    <xf numFmtId="14" fontId="11" fillId="0" borderId="0" xfId="0" applyNumberFormat="1" applyFont="1" applyAlignment="1">
      <alignment horizontal="left"/>
    </xf>
    <xf numFmtId="0" fontId="0" fillId="3" borderId="0" xfId="0" applyFill="1"/>
    <xf numFmtId="0" fontId="0" fillId="4" borderId="0" xfId="0" applyFill="1"/>
    <xf numFmtId="10" fontId="11" fillId="0" borderId="0" xfId="2" applyNumberFormat="1" applyFont="1" applyFill="1" applyBorder="1"/>
    <xf numFmtId="44" fontId="0" fillId="0" borderId="0" xfId="0" applyNumberFormat="1"/>
    <xf numFmtId="0" fontId="12" fillId="2" borderId="4" xfId="0" applyFont="1" applyFill="1" applyBorder="1" applyAlignment="1">
      <alignment horizontal="center"/>
    </xf>
    <xf numFmtId="44" fontId="12" fillId="2" borderId="5" xfId="1" applyFont="1" applyFill="1" applyBorder="1"/>
    <xf numFmtId="9" fontId="0" fillId="3" borderId="0" xfId="0" applyNumberFormat="1" applyFill="1"/>
    <xf numFmtId="44" fontId="0" fillId="3" borderId="0" xfId="1" applyFont="1" applyFill="1"/>
    <xf numFmtId="0" fontId="0" fillId="5" borderId="0" xfId="0" applyFill="1"/>
    <xf numFmtId="9" fontId="0" fillId="5" borderId="0" xfId="0" applyNumberFormat="1" applyFill="1"/>
    <xf numFmtId="44" fontId="0" fillId="5" borderId="0" xfId="1" applyFont="1" applyFill="1"/>
    <xf numFmtId="14" fontId="13" fillId="2" borderId="3" xfId="0" applyNumberFormat="1" applyFont="1" applyFill="1" applyBorder="1" applyAlignment="1">
      <alignment horizontal="left"/>
    </xf>
    <xf numFmtId="14" fontId="13" fillId="2" borderId="2" xfId="0" applyNumberFormat="1" applyFont="1" applyFill="1" applyBorder="1" applyAlignment="1">
      <alignment horizontal="left"/>
    </xf>
    <xf numFmtId="44" fontId="0" fillId="0" borderId="0" xfId="1" applyFont="1" applyFill="1"/>
    <xf numFmtId="44" fontId="11" fillId="0" borderId="0" xfId="0" applyNumberFormat="1" applyFont="1"/>
    <xf numFmtId="0" fontId="12" fillId="0" borderId="0" xfId="0" applyFont="1"/>
    <xf numFmtId="44" fontId="2" fillId="0" borderId="0" xfId="0" applyNumberFormat="1" applyFont="1"/>
    <xf numFmtId="44" fontId="8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4" fontId="2" fillId="0" borderId="7" xfId="0" applyNumberFormat="1" applyFont="1" applyBorder="1"/>
    <xf numFmtId="44" fontId="8" fillId="0" borderId="7" xfId="0" applyNumberFormat="1" applyFont="1" applyBorder="1"/>
    <xf numFmtId="44" fontId="2" fillId="2" borderId="4" xfId="0" applyNumberFormat="1" applyFont="1" applyFill="1" applyBorder="1"/>
    <xf numFmtId="0" fontId="0" fillId="0" borderId="8" xfId="0" applyBorder="1"/>
    <xf numFmtId="44" fontId="2" fillId="0" borderId="8" xfId="0" applyNumberFormat="1" applyFont="1" applyBorder="1"/>
    <xf numFmtId="44" fontId="2" fillId="0" borderId="8" xfId="1" applyFont="1" applyBorder="1"/>
    <xf numFmtId="44" fontId="2" fillId="2" borderId="8" xfId="0" applyNumberFormat="1" applyFont="1" applyFill="1" applyBorder="1"/>
    <xf numFmtId="0" fontId="16" fillId="0" borderId="0" xfId="0" applyFont="1"/>
    <xf numFmtId="44" fontId="0" fillId="0" borderId="9" xfId="1" applyFont="1" applyBorder="1"/>
    <xf numFmtId="44" fontId="0" fillId="0" borderId="11" xfId="1" applyFont="1" applyBorder="1"/>
    <xf numFmtId="44" fontId="2" fillId="2" borderId="5" xfId="0" applyNumberFormat="1" applyFont="1" applyFill="1" applyBorder="1"/>
    <xf numFmtId="44" fontId="10" fillId="0" borderId="0" xfId="0" applyNumberFormat="1" applyFont="1"/>
    <xf numFmtId="0" fontId="8" fillId="0" borderId="13" xfId="0" applyFont="1" applyBorder="1" applyAlignment="1">
      <alignment horizontal="left"/>
    </xf>
    <xf numFmtId="44" fontId="0" fillId="0" borderId="14" xfId="0" applyNumberFormat="1" applyBorder="1"/>
    <xf numFmtId="44" fontId="8" fillId="7" borderId="15" xfId="0" applyNumberFormat="1" applyFont="1" applyFill="1" applyBorder="1"/>
    <xf numFmtId="44" fontId="2" fillId="0" borderId="16" xfId="0" applyNumberFormat="1" applyFont="1" applyBorder="1"/>
    <xf numFmtId="0" fontId="8" fillId="0" borderId="17" xfId="0" applyFont="1" applyBorder="1"/>
    <xf numFmtId="0" fontId="8" fillId="0" borderId="18" xfId="0" applyFont="1" applyBorder="1"/>
    <xf numFmtId="0" fontId="0" fillId="0" borderId="19" xfId="0" applyBorder="1"/>
    <xf numFmtId="44" fontId="5" fillId="0" borderId="0" xfId="1" applyFont="1" applyFill="1" applyBorder="1" applyAlignment="1">
      <alignment horizontal="center"/>
    </xf>
    <xf numFmtId="0" fontId="5" fillId="0" borderId="0" xfId="0" applyFont="1"/>
    <xf numFmtId="0" fontId="2" fillId="0" borderId="7" xfId="0" applyFont="1" applyBorder="1"/>
    <xf numFmtId="44" fontId="0" fillId="0" borderId="0" xfId="1" applyFont="1" applyBorder="1"/>
    <xf numFmtId="44" fontId="0" fillId="0" borderId="14" xfId="1" applyFont="1" applyBorder="1"/>
    <xf numFmtId="44" fontId="8" fillId="2" borderId="22" xfId="0" applyNumberFormat="1" applyFont="1" applyFill="1" applyBorder="1"/>
    <xf numFmtId="44" fontId="0" fillId="0" borderId="19" xfId="1" applyFont="1" applyBorder="1"/>
    <xf numFmtId="44" fontId="2" fillId="0" borderId="7" xfId="1" applyFont="1" applyBorder="1"/>
    <xf numFmtId="14" fontId="10" fillId="2" borderId="1" xfId="0" applyNumberFormat="1" applyFont="1" applyFill="1" applyBorder="1" applyAlignment="1">
      <alignment horizontal="left"/>
    </xf>
    <xf numFmtId="14" fontId="10" fillId="0" borderId="0" xfId="0" applyNumberFormat="1" applyFont="1" applyAlignment="1">
      <alignment horizontal="left"/>
    </xf>
    <xf numFmtId="14" fontId="13" fillId="0" borderId="0" xfId="0" applyNumberFormat="1" applyFont="1" applyAlignment="1">
      <alignment horizontal="left"/>
    </xf>
    <xf numFmtId="44" fontId="0" fillId="5" borderId="7" xfId="1" applyFont="1" applyFill="1" applyBorder="1"/>
    <xf numFmtId="0" fontId="18" fillId="0" borderId="0" xfId="0" applyFont="1"/>
    <xf numFmtId="44" fontId="14" fillId="0" borderId="0" xfId="1" applyFont="1"/>
    <xf numFmtId="0" fontId="2" fillId="6" borderId="0" xfId="0" applyFont="1" applyFill="1" applyAlignment="1">
      <alignment horizontal="left"/>
    </xf>
    <xf numFmtId="0" fontId="2" fillId="6" borderId="0" xfId="0" applyFont="1" applyFill="1"/>
    <xf numFmtId="44" fontId="2" fillId="6" borderId="0" xfId="1" applyFont="1" applyFill="1"/>
    <xf numFmtId="44" fontId="0" fillId="0" borderId="24" xfId="1" applyFont="1" applyBorder="1"/>
    <xf numFmtId="44" fontId="0" fillId="0" borderId="25" xfId="1" applyFont="1" applyBorder="1"/>
    <xf numFmtId="0" fontId="0" fillId="0" borderId="24" xfId="0" applyBorder="1"/>
    <xf numFmtId="0" fontId="5" fillId="0" borderId="0" xfId="0" applyFont="1" applyAlignment="1">
      <alignment horizontal="left"/>
    </xf>
    <xf numFmtId="44" fontId="2" fillId="6" borderId="7" xfId="1" applyFont="1" applyFill="1" applyBorder="1" applyAlignment="1">
      <alignment horizontal="center"/>
    </xf>
    <xf numFmtId="0" fontId="21" fillId="0" borderId="0" xfId="0" applyFont="1"/>
    <xf numFmtId="0" fontId="2" fillId="9" borderId="3" xfId="0" applyFont="1" applyFill="1" applyBorder="1" applyAlignment="1">
      <alignment vertical="center"/>
    </xf>
    <xf numFmtId="0" fontId="2" fillId="9" borderId="2" xfId="0" applyFont="1" applyFill="1" applyBorder="1"/>
    <xf numFmtId="4" fontId="22" fillId="0" borderId="0" xfId="0" applyNumberFormat="1" applyFont="1"/>
    <xf numFmtId="167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/>
    <xf numFmtId="4" fontId="23" fillId="0" borderId="0" xfId="0" applyNumberFormat="1" applyFont="1"/>
    <xf numFmtId="167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3" xfId="0" applyFont="1" applyFill="1" applyBorder="1"/>
    <xf numFmtId="0" fontId="0" fillId="9" borderId="3" xfId="0" applyFill="1" applyBorder="1"/>
    <xf numFmtId="4" fontId="22" fillId="9" borderId="3" xfId="0" applyNumberFormat="1" applyFont="1" applyFill="1" applyBorder="1"/>
    <xf numFmtId="4" fontId="22" fillId="9" borderId="2" xfId="0" applyNumberFormat="1" applyFont="1" applyFill="1" applyBorder="1"/>
    <xf numFmtId="10" fontId="2" fillId="0" borderId="0" xfId="0" applyNumberFormat="1" applyFont="1" applyAlignment="1">
      <alignment horizontal="left" vertical="center"/>
    </xf>
    <xf numFmtId="0" fontId="23" fillId="0" borderId="0" xfId="0" applyFont="1"/>
    <xf numFmtId="0" fontId="22" fillId="0" borderId="1" xfId="0" applyFont="1" applyBorder="1" applyAlignment="1">
      <alignment horizontal="left"/>
    </xf>
    <xf numFmtId="0" fontId="23" fillId="0" borderId="2" xfId="0" applyFont="1" applyBorder="1"/>
    <xf numFmtId="44" fontId="22" fillId="0" borderId="2" xfId="0" applyNumberFormat="1" applyFont="1" applyBorder="1"/>
    <xf numFmtId="0" fontId="26" fillId="0" borderId="0" xfId="0" applyFont="1" applyAlignment="1">
      <alignment horizontal="center"/>
    </xf>
    <xf numFmtId="0" fontId="25" fillId="0" borderId="7" xfId="0" applyFont="1" applyBorder="1" applyAlignment="1">
      <alignment horizontal="center"/>
    </xf>
    <xf numFmtId="0" fontId="16" fillId="0" borderId="0" xfId="0" applyFont="1" applyAlignment="1">
      <alignment horizontal="right"/>
    </xf>
    <xf numFmtId="44" fontId="0" fillId="0" borderId="1" xfId="1" applyFont="1" applyBorder="1"/>
    <xf numFmtId="44" fontId="0" fillId="0" borderId="2" xfId="1" applyFont="1" applyBorder="1"/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4" fontId="2" fillId="0" borderId="11" xfId="1" applyFont="1" applyBorder="1" applyAlignment="1">
      <alignment horizontal="center"/>
    </xf>
    <xf numFmtId="44" fontId="2" fillId="0" borderId="12" xfId="1" applyFont="1" applyBorder="1" applyAlignment="1">
      <alignment horizontal="center"/>
    </xf>
    <xf numFmtId="14" fontId="12" fillId="0" borderId="0" xfId="0" applyNumberFormat="1" applyFont="1" applyAlignment="1">
      <alignment horizontal="left"/>
    </xf>
    <xf numFmtId="9" fontId="0" fillId="0" borderId="0" xfId="0" applyNumberFormat="1"/>
    <xf numFmtId="44" fontId="2" fillId="0" borderId="0" xfId="1" applyFont="1" applyBorder="1" applyAlignment="1">
      <alignment horizontal="center"/>
    </xf>
    <xf numFmtId="0" fontId="10" fillId="0" borderId="0" xfId="0" applyFont="1" applyAlignment="1">
      <alignment horizontal="left"/>
    </xf>
    <xf numFmtId="44" fontId="2" fillId="0" borderId="0" xfId="1" applyFont="1" applyFill="1" applyBorder="1" applyAlignment="1">
      <alignment horizontal="center"/>
    </xf>
    <xf numFmtId="44" fontId="0" fillId="0" borderId="0" xfId="1" applyFont="1" applyFill="1" applyBorder="1"/>
    <xf numFmtId="44" fontId="2" fillId="0" borderId="3" xfId="1" applyFont="1" applyBorder="1"/>
    <xf numFmtId="44" fontId="2" fillId="0" borderId="2" xfId="1" applyFont="1" applyBorder="1"/>
    <xf numFmtId="44" fontId="12" fillId="0" borderId="2" xfId="1" applyFont="1" applyFill="1" applyBorder="1"/>
    <xf numFmtId="44" fontId="11" fillId="0" borderId="0" xfId="1" applyFont="1" applyFill="1" applyBorder="1"/>
    <xf numFmtId="44" fontId="2" fillId="0" borderId="1" xfId="1" applyFont="1" applyFill="1" applyBorder="1"/>
    <xf numFmtId="44" fontId="2" fillId="0" borderId="12" xfId="1" applyFont="1" applyFill="1" applyBorder="1" applyAlignment="1">
      <alignment horizontal="center"/>
    </xf>
    <xf numFmtId="44" fontId="0" fillId="0" borderId="3" xfId="1" applyFont="1" applyFill="1" applyBorder="1"/>
    <xf numFmtId="10" fontId="11" fillId="0" borderId="0" xfId="2" applyNumberFormat="1" applyFont="1" applyFill="1" applyBorder="1" applyAlignment="1">
      <alignment horizontal="right"/>
    </xf>
    <xf numFmtId="0" fontId="0" fillId="8" borderId="0" xfId="0" applyFill="1"/>
    <xf numFmtId="0" fontId="2" fillId="8" borderId="0" xfId="0" applyFont="1" applyFill="1"/>
    <xf numFmtId="44" fontId="0" fillId="8" borderId="0" xfId="1" applyFont="1" applyFill="1" applyBorder="1"/>
    <xf numFmtId="9" fontId="0" fillId="8" borderId="0" xfId="0" applyNumberFormat="1" applyFill="1" applyAlignment="1">
      <alignment horizontal="center"/>
    </xf>
    <xf numFmtId="9" fontId="0" fillId="8" borderId="0" xfId="0" applyNumberFormat="1" applyFill="1"/>
    <xf numFmtId="0" fontId="0" fillId="2" borderId="3" xfId="0" applyFill="1" applyBorder="1"/>
    <xf numFmtId="0" fontId="12" fillId="0" borderId="23" xfId="0" applyFont="1" applyBorder="1" applyAlignment="1">
      <alignment horizontal="center"/>
    </xf>
    <xf numFmtId="0" fontId="11" fillId="0" borderId="24" xfId="0" applyFont="1" applyBorder="1"/>
    <xf numFmtId="0" fontId="11" fillId="0" borderId="25" xfId="0" applyFont="1" applyBorder="1"/>
    <xf numFmtId="0" fontId="0" fillId="0" borderId="25" xfId="0" applyBorder="1"/>
    <xf numFmtId="44" fontId="0" fillId="0" borderId="24" xfId="1" applyFont="1" applyFill="1" applyBorder="1"/>
    <xf numFmtId="44" fontId="0" fillId="0" borderId="25" xfId="1" applyFont="1" applyFill="1" applyBorder="1"/>
    <xf numFmtId="44" fontId="0" fillId="8" borderId="24" xfId="1" applyFont="1" applyFill="1" applyBorder="1"/>
    <xf numFmtId="44" fontId="0" fillId="5" borderId="24" xfId="1" applyFont="1" applyFill="1" applyBorder="1"/>
    <xf numFmtId="44" fontId="11" fillId="0" borderId="25" xfId="0" applyNumberFormat="1" applyFont="1" applyBorder="1"/>
    <xf numFmtId="0" fontId="18" fillId="0" borderId="24" xfId="0" applyFont="1" applyBorder="1"/>
    <xf numFmtId="0" fontId="18" fillId="0" borderId="25" xfId="0" applyFont="1" applyBorder="1"/>
    <xf numFmtId="44" fontId="0" fillId="3" borderId="24" xfId="1" applyFont="1" applyFill="1" applyBorder="1"/>
    <xf numFmtId="0" fontId="11" fillId="8" borderId="24" xfId="0" applyFont="1" applyFill="1" applyBorder="1"/>
    <xf numFmtId="44" fontId="11" fillId="0" borderId="25" xfId="1" applyFont="1" applyFill="1" applyBorder="1"/>
    <xf numFmtId="0" fontId="11" fillId="0" borderId="11" xfId="0" applyFont="1" applyBorder="1"/>
    <xf numFmtId="0" fontId="11" fillId="0" borderId="6" xfId="0" applyFont="1" applyBorder="1"/>
    <xf numFmtId="0" fontId="11" fillId="0" borderId="12" xfId="0" applyFont="1" applyBorder="1"/>
    <xf numFmtId="44" fontId="2" fillId="0" borderId="9" xfId="1" applyFont="1" applyBorder="1" applyAlignment="1">
      <alignment horizontal="center"/>
    </xf>
    <xf numFmtId="44" fontId="2" fillId="0" borderId="23" xfId="1" applyFont="1" applyBorder="1" applyAlignment="1">
      <alignment horizontal="center"/>
    </xf>
    <xf numFmtId="0" fontId="11" fillId="0" borderId="23" xfId="0" applyFont="1" applyBorder="1"/>
    <xf numFmtId="0" fontId="0" fillId="0" borderId="10" xfId="0" applyBorder="1"/>
    <xf numFmtId="44" fontId="2" fillId="0" borderId="24" xfId="1" applyFont="1" applyBorder="1" applyAlignment="1">
      <alignment horizontal="center"/>
    </xf>
    <xf numFmtId="44" fontId="2" fillId="0" borderId="24" xfId="1" applyFont="1" applyFill="1" applyBorder="1" applyAlignment="1">
      <alignment horizontal="center"/>
    </xf>
    <xf numFmtId="165" fontId="11" fillId="0" borderId="0" xfId="1" applyNumberFormat="1" applyFont="1" applyFill="1" applyBorder="1"/>
    <xf numFmtId="165" fontId="11" fillId="0" borderId="0" xfId="0" applyNumberFormat="1" applyFont="1"/>
    <xf numFmtId="10" fontId="11" fillId="0" borderId="24" xfId="2" applyNumberFormat="1" applyFont="1" applyFill="1" applyBorder="1"/>
    <xf numFmtId="44" fontId="2" fillId="0" borderId="11" xfId="1" applyFont="1" applyFill="1" applyBorder="1" applyAlignment="1">
      <alignment horizontal="center"/>
    </xf>
    <xf numFmtId="44" fontId="11" fillId="0" borderId="6" xfId="1" applyFont="1" applyFill="1" applyBorder="1"/>
    <xf numFmtId="164" fontId="11" fillId="0" borderId="6" xfId="1" applyNumberFormat="1" applyFont="1" applyFill="1" applyBorder="1"/>
    <xf numFmtId="44" fontId="11" fillId="0" borderId="12" xfId="1" applyFont="1" applyFill="1" applyBorder="1"/>
    <xf numFmtId="44" fontId="2" fillId="9" borderId="2" xfId="1" applyFont="1" applyFill="1" applyBorder="1" applyAlignment="1">
      <alignment horizontal="center"/>
    </xf>
    <xf numFmtId="0" fontId="2" fillId="9" borderId="1" xfId="0" applyFont="1" applyFill="1" applyBorder="1"/>
    <xf numFmtId="44" fontId="2" fillId="9" borderId="1" xfId="1" applyFont="1" applyFill="1" applyBorder="1"/>
    <xf numFmtId="44" fontId="2" fillId="9" borderId="2" xfId="1" applyFont="1" applyFill="1" applyBorder="1"/>
    <xf numFmtId="44" fontId="0" fillId="0" borderId="0" xfId="0" applyNumberFormat="1" applyAlignment="1">
      <alignment horizontal="center"/>
    </xf>
    <xf numFmtId="44" fontId="2" fillId="9" borderId="2" xfId="0" applyNumberFormat="1" applyFont="1" applyFill="1" applyBorder="1"/>
    <xf numFmtId="14" fontId="11" fillId="0" borderId="7" xfId="0" applyNumberFormat="1" applyFont="1" applyBorder="1" applyAlignment="1">
      <alignment horizontal="left"/>
    </xf>
    <xf numFmtId="44" fontId="12" fillId="0" borderId="7" xfId="0" applyNumberFormat="1" applyFont="1" applyBorder="1"/>
    <xf numFmtId="8" fontId="0" fillId="0" borderId="0" xfId="0" applyNumberFormat="1"/>
    <xf numFmtId="44" fontId="0" fillId="8" borderId="0" xfId="1" applyFont="1" applyFill="1"/>
    <xf numFmtId="4" fontId="17" fillId="6" borderId="3" xfId="0" applyNumberFormat="1" applyFont="1" applyFill="1" applyBorder="1" applyAlignment="1">
      <alignment horizontal="center"/>
    </xf>
    <xf numFmtId="4" fontId="0" fillId="6" borderId="3" xfId="0" applyNumberFormat="1" applyFill="1" applyBorder="1" applyAlignment="1">
      <alignment horizontal="center"/>
    </xf>
    <xf numFmtId="4" fontId="0" fillId="6" borderId="2" xfId="0" applyNumberForma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4" fontId="0" fillId="0" borderId="7" xfId="0" applyNumberFormat="1" applyBorder="1"/>
    <xf numFmtId="44" fontId="8" fillId="6" borderId="7" xfId="1" applyFont="1" applyFill="1" applyBorder="1"/>
    <xf numFmtId="0" fontId="2" fillId="0" borderId="7" xfId="0" applyFont="1" applyBorder="1" applyAlignment="1">
      <alignment horizontal="center"/>
    </xf>
    <xf numFmtId="0" fontId="5" fillId="6" borderId="1" xfId="0" applyFont="1" applyFill="1" applyBorder="1"/>
    <xf numFmtId="0" fontId="5" fillId="6" borderId="3" xfId="0" applyFont="1" applyFill="1" applyBorder="1"/>
    <xf numFmtId="0" fontId="5" fillId="6" borderId="2" xfId="0" applyFont="1" applyFill="1" applyBorder="1"/>
    <xf numFmtId="0" fontId="8" fillId="6" borderId="3" xfId="0" applyFont="1" applyFill="1" applyBorder="1"/>
    <xf numFmtId="0" fontId="27" fillId="6" borderId="3" xfId="0" applyFont="1" applyFill="1" applyBorder="1"/>
    <xf numFmtId="0" fontId="0" fillId="6" borderId="3" xfId="0" applyFill="1" applyBorder="1"/>
    <xf numFmtId="44" fontId="8" fillId="6" borderId="3" xfId="0" applyNumberFormat="1" applyFont="1" applyFill="1" applyBorder="1"/>
    <xf numFmtId="0" fontId="0" fillId="6" borderId="2" xfId="0" applyFill="1" applyBorder="1"/>
    <xf numFmtId="0" fontId="21" fillId="6" borderId="3" xfId="0" applyFont="1" applyFill="1" applyBorder="1"/>
    <xf numFmtId="0" fontId="21" fillId="6" borderId="2" xfId="0" applyFont="1" applyFill="1" applyBorder="1"/>
    <xf numFmtId="44" fontId="2" fillId="0" borderId="1" xfId="0" applyNumberFormat="1" applyFont="1" applyBorder="1"/>
    <xf numFmtId="44" fontId="10" fillId="7" borderId="1" xfId="1" applyFont="1" applyFill="1" applyBorder="1"/>
    <xf numFmtId="44" fontId="10" fillId="7" borderId="1" xfId="0" applyNumberFormat="1" applyFont="1" applyFill="1" applyBorder="1"/>
    <xf numFmtId="0" fontId="17" fillId="0" borderId="23" xfId="0" applyFont="1" applyBorder="1" applyAlignment="1">
      <alignment horizontal="center"/>
    </xf>
    <xf numFmtId="166" fontId="17" fillId="0" borderId="6" xfId="0" applyNumberFormat="1" applyFont="1" applyBorder="1" applyAlignment="1">
      <alignment horizontal="center"/>
    </xf>
    <xf numFmtId="44" fontId="10" fillId="0" borderId="3" xfId="0" applyNumberFormat="1" applyFont="1" applyBorder="1"/>
    <xf numFmtId="44" fontId="0" fillId="6" borderId="7" xfId="0" applyNumberFormat="1" applyFill="1" applyBorder="1" applyAlignment="1">
      <alignment horizontal="center"/>
    </xf>
    <xf numFmtId="0" fontId="0" fillId="0" borderId="9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2" fillId="0" borderId="24" xfId="0" applyFont="1" applyBorder="1"/>
    <xf numFmtId="44" fontId="0" fillId="0" borderId="0" xfId="1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2" xfId="0" applyBorder="1"/>
    <xf numFmtId="0" fontId="2" fillId="0" borderId="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11" fillId="0" borderId="0" xfId="1" applyFont="1" applyBorder="1"/>
    <xf numFmtId="8" fontId="11" fillId="0" borderId="25" xfId="0" applyNumberFormat="1" applyFont="1" applyBorder="1"/>
    <xf numFmtId="44" fontId="11" fillId="0" borderId="24" xfId="0" applyNumberFormat="1" applyFont="1" applyBorder="1"/>
    <xf numFmtId="44" fontId="11" fillId="10" borderId="0" xfId="0" applyNumberFormat="1" applyFont="1" applyFill="1"/>
    <xf numFmtId="44" fontId="18" fillId="0" borderId="0" xfId="1" applyFont="1" applyBorder="1"/>
    <xf numFmtId="44" fontId="0" fillId="0" borderId="24" xfId="0" applyNumberFormat="1" applyBorder="1"/>
    <xf numFmtId="44" fontId="0" fillId="10" borderId="0" xfId="0" applyNumberFormat="1" applyFill="1"/>
    <xf numFmtId="8" fontId="0" fillId="0" borderId="25" xfId="0" applyNumberFormat="1" applyBorder="1"/>
    <xf numFmtId="44" fontId="12" fillId="0" borderId="0" xfId="0" applyNumberFormat="1" applyFont="1"/>
    <xf numFmtId="0" fontId="0" fillId="0" borderId="11" xfId="0" applyBorder="1"/>
    <xf numFmtId="8" fontId="0" fillId="0" borderId="12" xfId="0" applyNumberFormat="1" applyBorder="1"/>
    <xf numFmtId="0" fontId="25" fillId="0" borderId="0" xfId="0" applyFont="1" applyAlignment="1">
      <alignment horizontal="center"/>
    </xf>
    <xf numFmtId="9" fontId="0" fillId="3" borderId="0" xfId="0" applyNumberFormat="1" applyFill="1" applyAlignment="1">
      <alignment horizontal="center"/>
    </xf>
    <xf numFmtId="0" fontId="11" fillId="5" borderId="0" xfId="0" applyFont="1" applyFill="1"/>
    <xf numFmtId="9" fontId="0" fillId="5" borderId="0" xfId="0" applyNumberFormat="1" applyFill="1" applyAlignment="1">
      <alignment horizontal="center"/>
    </xf>
    <xf numFmtId="44" fontId="11" fillId="8" borderId="0" xfId="1" applyFont="1" applyFill="1" applyBorder="1"/>
    <xf numFmtId="14" fontId="28" fillId="0" borderId="0" xfId="0" applyNumberFormat="1" applyFont="1" applyAlignment="1">
      <alignment horizontal="left"/>
    </xf>
    <xf numFmtId="44" fontId="2" fillId="9" borderId="1" xfId="1" applyFont="1" applyFill="1" applyBorder="1" applyAlignment="1">
      <alignment horizontal="center"/>
    </xf>
    <xf numFmtId="44" fontId="2" fillId="9" borderId="3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11" borderId="0" xfId="0" applyFont="1" applyFill="1"/>
    <xf numFmtId="44" fontId="2" fillId="0" borderId="1" xfId="1" applyFont="1" applyBorder="1"/>
    <xf numFmtId="165" fontId="11" fillId="0" borderId="3" xfId="1" applyNumberFormat="1" applyFont="1" applyFill="1" applyBorder="1"/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44" fontId="0" fillId="0" borderId="0" xfId="1" applyFont="1" applyAlignment="1">
      <alignment horizontal="left"/>
    </xf>
    <xf numFmtId="0" fontId="0" fillId="0" borderId="2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5" xfId="0" applyBorder="1" applyAlignment="1">
      <alignment horizontal="left" wrapText="1"/>
    </xf>
    <xf numFmtId="44" fontId="2" fillId="9" borderId="1" xfId="1" applyFont="1" applyFill="1" applyBorder="1" applyAlignment="1">
      <alignment horizontal="center"/>
    </xf>
    <xf numFmtId="44" fontId="2" fillId="9" borderId="3" xfId="1" applyFont="1" applyFill="1" applyBorder="1" applyAlignment="1">
      <alignment horizontal="center"/>
    </xf>
    <xf numFmtId="44" fontId="2" fillId="9" borderId="2" xfId="1" applyFont="1" applyFill="1" applyBorder="1" applyAlignment="1">
      <alignment horizontal="center"/>
    </xf>
    <xf numFmtId="44" fontId="5" fillId="2" borderId="9" xfId="1" applyFont="1" applyFill="1" applyBorder="1" applyAlignment="1">
      <alignment horizontal="center"/>
    </xf>
    <xf numFmtId="44" fontId="5" fillId="2" borderId="10" xfId="1" applyFont="1" applyFill="1" applyBorder="1" applyAlignment="1">
      <alignment horizontal="center"/>
    </xf>
    <xf numFmtId="166" fontId="8" fillId="2" borderId="20" xfId="0" applyNumberFormat="1" applyFont="1" applyFill="1" applyBorder="1" applyAlignment="1">
      <alignment horizontal="center"/>
    </xf>
    <xf numFmtId="166" fontId="8" fillId="2" borderId="21" xfId="0" applyNumberFormat="1" applyFont="1" applyFill="1" applyBorder="1" applyAlignment="1">
      <alignment horizontal="center"/>
    </xf>
    <xf numFmtId="44" fontId="5" fillId="2" borderId="1" xfId="1" applyFont="1" applyFill="1" applyBorder="1" applyAlignment="1">
      <alignment horizontal="center"/>
    </xf>
    <xf numFmtId="44" fontId="5" fillId="2" borderId="3" xfId="1" applyFont="1" applyFill="1" applyBorder="1" applyAlignment="1">
      <alignment horizontal="center"/>
    </xf>
    <xf numFmtId="44" fontId="5" fillId="2" borderId="2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/>
    </xf>
    <xf numFmtId="167" fontId="2" fillId="6" borderId="3" xfId="0" applyNumberFormat="1" applyFont="1" applyFill="1" applyBorder="1" applyAlignment="1">
      <alignment horizontal="center" vertical="center"/>
    </xf>
    <xf numFmtId="167" fontId="2" fillId="6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E6D6F2"/>
      <color rgb="FFDAC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807554</xdr:colOff>
      <xdr:row>0</xdr:row>
      <xdr:rowOff>71784</xdr:rowOff>
    </xdr:from>
    <xdr:to>
      <xdr:col>9</xdr:col>
      <xdr:colOff>879927</xdr:colOff>
      <xdr:row>4</xdr:row>
      <xdr:rowOff>130176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EC7B9A-67CD-4D52-AD45-DB894AD2A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1554" y="71784"/>
          <a:ext cx="2183610" cy="104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3"/>
  <sheetViews>
    <sheetView tabSelected="1" topLeftCell="C179" zoomScaleNormal="100" workbookViewId="0">
      <selection activeCell="Q204" sqref="Q204"/>
    </sheetView>
  </sheetViews>
  <sheetFormatPr baseColWidth="10" defaultColWidth="9.140625" defaultRowHeight="15"/>
  <cols>
    <col min="1" max="1" width="12.28515625" style="9" customWidth="1"/>
    <col min="3" max="3" width="15.140625" customWidth="1"/>
    <col min="4" max="4" width="14.5703125" customWidth="1"/>
    <col min="5" max="5" width="15.42578125" style="3" customWidth="1"/>
    <col min="6" max="6" width="17.140625" style="3" customWidth="1"/>
    <col min="7" max="7" width="17.28515625" style="3" customWidth="1"/>
    <col min="8" max="8" width="15.42578125" style="3" customWidth="1"/>
    <col min="9" max="9" width="16.28515625" style="3" customWidth="1"/>
    <col min="10" max="10" width="16.28515625" style="3" bestFit="1" customWidth="1"/>
    <col min="11" max="11" width="16.7109375" customWidth="1"/>
    <col min="12" max="12" width="17.7109375" style="17" customWidth="1"/>
    <col min="13" max="13" width="5.7109375" customWidth="1"/>
    <col min="14" max="15" width="16.7109375" customWidth="1"/>
    <col min="16" max="16" width="16.28515625" bestFit="1" customWidth="1"/>
    <col min="17" max="17" width="15" customWidth="1"/>
    <col min="18" max="18" width="16.42578125" customWidth="1"/>
    <col min="19" max="25" width="15" customWidth="1"/>
  </cols>
  <sheetData>
    <row r="1" spans="1:15" ht="19.5" customHeight="1">
      <c r="A1" s="5" t="s">
        <v>0</v>
      </c>
      <c r="E1" s="243" t="s">
        <v>246</v>
      </c>
      <c r="F1" s="244"/>
      <c r="H1"/>
      <c r="K1" s="3"/>
      <c r="L1" s="15"/>
      <c r="M1" s="3"/>
      <c r="N1" s="3"/>
      <c r="O1" s="3"/>
    </row>
    <row r="2" spans="1:15" ht="19.5" customHeight="1">
      <c r="A2" s="6" t="s">
        <v>1</v>
      </c>
      <c r="E2" s="250"/>
      <c r="F2" s="250"/>
    </row>
    <row r="3" spans="1:15" ht="19.5" customHeight="1">
      <c r="A3" s="7" t="s">
        <v>2</v>
      </c>
    </row>
    <row r="4" spans="1:15" ht="19.5" customHeight="1">
      <c r="A4" s="7" t="s">
        <v>3</v>
      </c>
    </row>
    <row r="5" spans="1:15" ht="19.5" customHeight="1">
      <c r="A5" s="7"/>
    </row>
    <row r="6" spans="1:15" ht="19.5" customHeight="1">
      <c r="A6" s="247" t="s">
        <v>60</v>
      </c>
      <c r="B6" s="248"/>
      <c r="C6" s="248"/>
      <c r="D6" s="248"/>
      <c r="E6" s="248"/>
      <c r="F6" s="248"/>
      <c r="G6" s="248"/>
      <c r="H6" s="248"/>
      <c r="I6" s="248"/>
      <c r="J6" s="249"/>
    </row>
    <row r="7" spans="1:15" ht="19.5" customHeight="1">
      <c r="A7" s="62"/>
      <c r="B7" s="62"/>
      <c r="C7" s="62"/>
      <c r="D7" s="62"/>
      <c r="E7" s="62"/>
      <c r="F7" s="62"/>
      <c r="G7" s="62"/>
      <c r="H7" s="62"/>
      <c r="I7" s="62"/>
      <c r="J7" s="62"/>
    </row>
    <row r="8" spans="1:15">
      <c r="A8"/>
      <c r="E8"/>
      <c r="F8"/>
      <c r="G8"/>
      <c r="H8"/>
      <c r="I8"/>
      <c r="J8"/>
    </row>
    <row r="9" spans="1:15" ht="18.75">
      <c r="A9" s="180" t="s">
        <v>189</v>
      </c>
      <c r="B9" s="185"/>
      <c r="C9" s="185"/>
      <c r="D9" s="185"/>
      <c r="E9" s="185"/>
      <c r="F9" s="185"/>
      <c r="G9" s="187"/>
      <c r="H9"/>
      <c r="I9"/>
      <c r="J9"/>
    </row>
    <row r="10" spans="1:15">
      <c r="A10"/>
      <c r="E10"/>
      <c r="F10"/>
      <c r="G10"/>
      <c r="H10"/>
      <c r="I10"/>
      <c r="J10"/>
    </row>
    <row r="11" spans="1:15">
      <c r="A11" s="4" t="s">
        <v>37</v>
      </c>
      <c r="E11"/>
      <c r="F11"/>
      <c r="G11"/>
      <c r="H11"/>
      <c r="I11"/>
      <c r="J11"/>
    </row>
    <row r="12" spans="1:15" ht="15.75">
      <c r="A12" t="s">
        <v>61</v>
      </c>
      <c r="E12"/>
      <c r="F12" s="12">
        <v>1796945.2</v>
      </c>
      <c r="G12" s="39">
        <f>ROUND(F12*1.06,2)</f>
        <v>1904761.91</v>
      </c>
      <c r="H12" t="s">
        <v>38</v>
      </c>
      <c r="I12"/>
      <c r="J12"/>
    </row>
    <row r="13" spans="1:15">
      <c r="A13"/>
      <c r="C13" t="s">
        <v>69</v>
      </c>
      <c r="E13"/>
      <c r="F13" s="3">
        <f>ROUND(F12*0.9,2)</f>
        <v>1617250.68</v>
      </c>
      <c r="G13"/>
      <c r="H13"/>
      <c r="I13"/>
      <c r="J13"/>
    </row>
    <row r="14" spans="1:15">
      <c r="A14"/>
      <c r="C14" t="s">
        <v>70</v>
      </c>
      <c r="E14"/>
      <c r="F14" s="3">
        <f>ROUND(F13*0.06,2)</f>
        <v>97035.04</v>
      </c>
      <c r="G14"/>
      <c r="H14"/>
      <c r="I14"/>
      <c r="J14"/>
    </row>
    <row r="15" spans="1:15">
      <c r="A15"/>
      <c r="C15" s="4" t="s">
        <v>71</v>
      </c>
      <c r="E15" s="4"/>
      <c r="F15" s="13">
        <f>SUM(F13:F14)</f>
        <v>1714285.72</v>
      </c>
      <c r="G15"/>
      <c r="H15"/>
      <c r="I15"/>
      <c r="J15"/>
    </row>
    <row r="16" spans="1:15">
      <c r="A16"/>
      <c r="C16" t="s">
        <v>39</v>
      </c>
      <c r="E16"/>
      <c r="F16" s="3">
        <f>ROUND(F15*0.05,2)</f>
        <v>85714.29</v>
      </c>
      <c r="G16" t="s">
        <v>40</v>
      </c>
      <c r="H16"/>
      <c r="I16"/>
      <c r="J16"/>
    </row>
    <row r="17" spans="1:10" ht="15.75">
      <c r="A17"/>
      <c r="C17" t="s">
        <v>41</v>
      </c>
      <c r="E17"/>
      <c r="F17" s="44">
        <f>SUM(F15:F16)</f>
        <v>1800000.01</v>
      </c>
      <c r="G17" t="s">
        <v>72</v>
      </c>
      <c r="H17"/>
      <c r="I17"/>
      <c r="J17"/>
    </row>
    <row r="18" spans="1:10" ht="15.75">
      <c r="A18"/>
      <c r="E18"/>
      <c r="F18" s="40"/>
      <c r="G18"/>
      <c r="H18"/>
      <c r="I18"/>
      <c r="J18"/>
    </row>
    <row r="19" spans="1:10" ht="18.75">
      <c r="A19" s="180" t="s">
        <v>190</v>
      </c>
      <c r="B19" s="184"/>
      <c r="C19" s="185"/>
      <c r="D19" s="185"/>
      <c r="E19" s="185"/>
      <c r="F19" s="186"/>
      <c r="G19" s="187"/>
      <c r="H19"/>
      <c r="I19"/>
      <c r="J19"/>
    </row>
    <row r="20" spans="1:10" ht="18.75">
      <c r="A20" s="63"/>
      <c r="E20"/>
      <c r="F20" s="40"/>
      <c r="G20"/>
      <c r="H20"/>
      <c r="I20"/>
      <c r="J20"/>
    </row>
    <row r="21" spans="1:10">
      <c r="A21" s="64" t="s">
        <v>42</v>
      </c>
      <c r="E21"/>
      <c r="F21"/>
      <c r="G21"/>
      <c r="H21"/>
      <c r="I21"/>
      <c r="J21"/>
    </row>
    <row r="22" spans="1:10">
      <c r="A22" t="s">
        <v>233</v>
      </c>
      <c r="E22"/>
      <c r="F22"/>
      <c r="G22"/>
      <c r="H22"/>
      <c r="I22"/>
      <c r="J22"/>
    </row>
    <row r="23" spans="1:10">
      <c r="A23" s="64" t="s">
        <v>43</v>
      </c>
      <c r="E23"/>
      <c r="F23"/>
      <c r="G23"/>
      <c r="H23"/>
      <c r="I23"/>
      <c r="J23"/>
    </row>
    <row r="24" spans="1:10" ht="30.75" customHeight="1">
      <c r="A24" s="238" t="s">
        <v>44</v>
      </c>
      <c r="B24" s="238"/>
      <c r="C24" s="238"/>
      <c r="D24" s="238"/>
      <c r="E24" s="238"/>
      <c r="F24" s="238"/>
      <c r="G24" s="238"/>
      <c r="H24" s="238"/>
      <c r="I24" s="238"/>
      <c r="J24" s="238"/>
    </row>
    <row r="25" spans="1:10">
      <c r="A25" t="s">
        <v>73</v>
      </c>
      <c r="E25"/>
      <c r="F25"/>
      <c r="G25"/>
      <c r="H25"/>
      <c r="I25"/>
      <c r="J25"/>
    </row>
    <row r="26" spans="1:10">
      <c r="A26" t="s">
        <v>220</v>
      </c>
      <c r="E26"/>
      <c r="F26"/>
      <c r="G26"/>
      <c r="H26"/>
      <c r="I26"/>
      <c r="J26"/>
    </row>
    <row r="27" spans="1:10">
      <c r="A27"/>
      <c r="E27"/>
      <c r="F27"/>
      <c r="G27"/>
      <c r="H27"/>
      <c r="I27"/>
      <c r="J27"/>
    </row>
    <row r="28" spans="1:10" ht="18.75">
      <c r="A28" s="180" t="s">
        <v>247</v>
      </c>
      <c r="B28" s="181"/>
      <c r="C28" s="183"/>
      <c r="D28" s="181"/>
      <c r="E28" s="181"/>
      <c r="F28" s="181"/>
      <c r="G28" s="182"/>
      <c r="H28"/>
      <c r="I28"/>
      <c r="J28"/>
    </row>
    <row r="29" spans="1:10" ht="18.75">
      <c r="A29" s="63"/>
      <c r="E29"/>
      <c r="F29"/>
      <c r="G29"/>
      <c r="H29"/>
      <c r="I29"/>
      <c r="J29"/>
    </row>
    <row r="30" spans="1:10" ht="18.75">
      <c r="A30" s="84" t="s">
        <v>78</v>
      </c>
      <c r="E30"/>
      <c r="F30"/>
      <c r="G30"/>
      <c r="H30"/>
      <c r="I30"/>
      <c r="J30"/>
    </row>
    <row r="31" spans="1:10" ht="18.75">
      <c r="A31" s="63"/>
      <c r="E31"/>
      <c r="F31"/>
      <c r="G31"/>
      <c r="H31"/>
      <c r="I31"/>
      <c r="J31"/>
    </row>
    <row r="32" spans="1:10">
      <c r="A32" s="254" t="s">
        <v>178</v>
      </c>
      <c r="B32" s="255"/>
      <c r="C32" s="255"/>
      <c r="D32" s="256"/>
      <c r="E32" s="87" t="s">
        <v>79</v>
      </c>
      <c r="F32" s="176" t="s">
        <v>181</v>
      </c>
      <c r="G32" s="173" t="s">
        <v>80</v>
      </c>
      <c r="H32" s="174" t="s">
        <v>182</v>
      </c>
      <c r="I32" s="174" t="s">
        <v>183</v>
      </c>
      <c r="J32" s="175" t="s">
        <v>81</v>
      </c>
    </row>
    <row r="33" spans="1:10">
      <c r="A33" s="88"/>
      <c r="B33" s="89"/>
      <c r="C33" s="4"/>
      <c r="D33" s="4"/>
      <c r="E33" s="87"/>
      <c r="F33"/>
      <c r="G33" s="90"/>
      <c r="H33" s="90"/>
      <c r="I33" s="90"/>
      <c r="J33" s="90"/>
    </row>
    <row r="34" spans="1:10">
      <c r="A34" s="88" t="s">
        <v>82</v>
      </c>
      <c r="B34" s="89"/>
      <c r="C34" s="4"/>
      <c r="D34" s="4"/>
      <c r="E34" s="91">
        <v>1610457.92</v>
      </c>
      <c r="F34" s="91"/>
      <c r="G34" s="91">
        <v>1019610.37</v>
      </c>
      <c r="H34" s="91">
        <v>209657.84</v>
      </c>
      <c r="I34" s="91">
        <v>210047.71</v>
      </c>
      <c r="J34" s="91">
        <v>171142</v>
      </c>
    </row>
    <row r="35" spans="1:10">
      <c r="A35" s="88" t="s">
        <v>83</v>
      </c>
      <c r="B35" s="89"/>
      <c r="C35" s="4"/>
      <c r="D35" s="4"/>
      <c r="E35" s="91">
        <v>571395</v>
      </c>
      <c r="F35" s="91"/>
      <c r="G35" s="91">
        <v>276740</v>
      </c>
      <c r="H35" s="91">
        <v>61012.5</v>
      </c>
      <c r="I35" s="91">
        <v>64987.5</v>
      </c>
      <c r="J35" s="91">
        <v>168655</v>
      </c>
    </row>
    <row r="36" spans="1:10">
      <c r="A36" s="88"/>
      <c r="B36" s="89"/>
      <c r="C36" s="4"/>
      <c r="D36" s="4"/>
      <c r="E36" s="87"/>
      <c r="F36"/>
      <c r="G36" s="90"/>
      <c r="H36" s="90"/>
      <c r="I36" s="90"/>
      <c r="J36" s="90"/>
    </row>
    <row r="37" spans="1:10">
      <c r="A37" s="92" t="s">
        <v>84</v>
      </c>
      <c r="B37" s="89"/>
      <c r="C37" s="4"/>
      <c r="D37" s="4"/>
      <c r="E37" s="87">
        <f>+E34+E35</f>
        <v>2181852.92</v>
      </c>
      <c r="F37"/>
      <c r="G37" s="87">
        <f>+G34+G35</f>
        <v>1296350.3700000001</v>
      </c>
      <c r="H37" s="87">
        <f>+H34+H35</f>
        <v>270670.33999999997</v>
      </c>
      <c r="I37" s="87">
        <f>+I34+I35</f>
        <v>275035.20999999996</v>
      </c>
      <c r="J37" s="87">
        <f>+J34+J35</f>
        <v>339797</v>
      </c>
    </row>
    <row r="38" spans="1:10">
      <c r="A38" s="93" t="s">
        <v>85</v>
      </c>
      <c r="B38" s="89"/>
      <c r="C38" s="4"/>
      <c r="D38" s="99">
        <v>0.06</v>
      </c>
      <c r="E38" s="91">
        <f>ROUND(E37*0.06,2)</f>
        <v>130911.18</v>
      </c>
      <c r="F38" s="91"/>
      <c r="G38" s="91">
        <f t="shared" ref="G38:J38" si="0">ROUND(G37*0.06,2)</f>
        <v>77781.02</v>
      </c>
      <c r="H38" s="91">
        <f t="shared" si="0"/>
        <v>16240.22</v>
      </c>
      <c r="I38" s="91">
        <f t="shared" si="0"/>
        <v>16502.11</v>
      </c>
      <c r="J38" s="91">
        <f t="shared" si="0"/>
        <v>20387.82</v>
      </c>
    </row>
    <row r="39" spans="1:10">
      <c r="A39" s="94" t="s">
        <v>179</v>
      </c>
      <c r="B39" s="85"/>
      <c r="C39" s="95"/>
      <c r="D39" s="95"/>
      <c r="E39" s="97">
        <f>E37+E38</f>
        <v>2312764.1</v>
      </c>
      <c r="F39" s="97"/>
      <c r="G39" s="97">
        <f t="shared" ref="G39:J39" si="1">G37+G38</f>
        <v>1374131.3900000001</v>
      </c>
      <c r="H39" s="97">
        <f t="shared" si="1"/>
        <v>286910.55999999994</v>
      </c>
      <c r="I39" s="97">
        <f t="shared" si="1"/>
        <v>291537.31999999995</v>
      </c>
      <c r="J39" s="98">
        <f t="shared" si="1"/>
        <v>360184.82</v>
      </c>
    </row>
    <row r="40" spans="1:10" ht="18.75">
      <c r="A40" s="63"/>
      <c r="E40"/>
      <c r="F40"/>
      <c r="G40"/>
      <c r="H40"/>
      <c r="I40"/>
      <c r="J40"/>
    </row>
    <row r="41" spans="1:10" ht="18.75">
      <c r="A41" s="84" t="s">
        <v>180</v>
      </c>
      <c r="E41"/>
      <c r="F41"/>
      <c r="G41"/>
      <c r="H41"/>
      <c r="I41"/>
      <c r="J41"/>
    </row>
    <row r="42" spans="1:10" ht="18.75">
      <c r="A42" s="63" t="s">
        <v>184</v>
      </c>
      <c r="E42"/>
      <c r="F42"/>
      <c r="G42"/>
      <c r="H42"/>
      <c r="I42"/>
      <c r="J42"/>
    </row>
    <row r="43" spans="1:10" ht="18" customHeight="1">
      <c r="A43" s="63"/>
      <c r="E43"/>
      <c r="F43"/>
      <c r="G43"/>
      <c r="H43"/>
      <c r="I43"/>
      <c r="J43"/>
    </row>
    <row r="44" spans="1:10">
      <c r="A44" s="4" t="s">
        <v>45</v>
      </c>
      <c r="E44"/>
      <c r="F44" s="17" t="s">
        <v>62</v>
      </c>
      <c r="G44" s="179" t="s">
        <v>187</v>
      </c>
      <c r="H44"/>
      <c r="I44"/>
      <c r="J44"/>
    </row>
    <row r="45" spans="1:10">
      <c r="A45" t="s">
        <v>185</v>
      </c>
      <c r="E45"/>
      <c r="F45" s="26">
        <v>2181852.92</v>
      </c>
      <c r="G45"/>
      <c r="H45"/>
      <c r="I45"/>
      <c r="J45"/>
    </row>
    <row r="46" spans="1:10">
      <c r="A46"/>
      <c r="E46" s="41" t="s">
        <v>47</v>
      </c>
      <c r="F46" s="3">
        <f>ROUND(F45*0.05,2)</f>
        <v>109092.65</v>
      </c>
      <c r="G46"/>
      <c r="H46"/>
      <c r="I46"/>
      <c r="J46"/>
    </row>
    <row r="47" spans="1:10">
      <c r="A47"/>
      <c r="E47" s="42" t="s">
        <v>48</v>
      </c>
      <c r="F47" s="177">
        <f>F45+F46</f>
        <v>2290945.5699999998</v>
      </c>
      <c r="G47" s="69">
        <f>ROUND(F47*1.06,2)</f>
        <v>2428402.2999999998</v>
      </c>
      <c r="H47"/>
      <c r="I47"/>
      <c r="J47"/>
    </row>
    <row r="48" spans="1:10">
      <c r="A48"/>
      <c r="E48" s="41" t="s">
        <v>49</v>
      </c>
      <c r="F48" s="3">
        <f>ROUND(K191/1.06,2)</f>
        <v>116101.1</v>
      </c>
      <c r="G48" t="s">
        <v>186</v>
      </c>
      <c r="H48"/>
      <c r="I48"/>
      <c r="J48"/>
    </row>
    <row r="49" spans="1:10" ht="15.75">
      <c r="A49"/>
      <c r="E49" s="42" t="s">
        <v>50</v>
      </c>
      <c r="F49" s="177">
        <f>SUM(F47:F48)</f>
        <v>2407046.67</v>
      </c>
      <c r="G49" s="178">
        <f>ROUND(F49*1.06,2)</f>
        <v>2551469.4700000002</v>
      </c>
      <c r="H49" t="s">
        <v>234</v>
      </c>
      <c r="I49"/>
      <c r="J49"/>
    </row>
    <row r="50" spans="1:10">
      <c r="A50"/>
      <c r="F50"/>
      <c r="G50"/>
      <c r="H50"/>
      <c r="I50"/>
      <c r="J50"/>
    </row>
    <row r="51" spans="1:10" ht="18.75">
      <c r="A51" s="257" t="s">
        <v>191</v>
      </c>
      <c r="B51" s="258"/>
      <c r="C51" s="258"/>
      <c r="D51" s="188"/>
      <c r="E51" s="188"/>
      <c r="F51" s="188"/>
      <c r="G51" s="189"/>
      <c r="H51"/>
      <c r="I51"/>
      <c r="J51"/>
    </row>
    <row r="52" spans="1:10">
      <c r="A52" t="s">
        <v>188</v>
      </c>
      <c r="E52"/>
      <c r="F52"/>
      <c r="G52"/>
      <c r="H52"/>
      <c r="I52"/>
      <c r="J52"/>
    </row>
    <row r="53" spans="1:10">
      <c r="A53"/>
      <c r="B53" t="s">
        <v>192</v>
      </c>
      <c r="E53"/>
      <c r="F53"/>
      <c r="G53"/>
      <c r="H53"/>
      <c r="I53"/>
      <c r="J53"/>
    </row>
    <row r="54" spans="1:10">
      <c r="A54"/>
      <c r="B54" t="s">
        <v>193</v>
      </c>
      <c r="E54"/>
      <c r="F54"/>
      <c r="G54"/>
      <c r="H54"/>
      <c r="I54"/>
      <c r="J54"/>
    </row>
    <row r="55" spans="1:10">
      <c r="A55"/>
      <c r="B55" t="s">
        <v>235</v>
      </c>
      <c r="E55"/>
      <c r="F55"/>
      <c r="G55"/>
      <c r="H55"/>
      <c r="I55"/>
      <c r="J55"/>
    </row>
    <row r="56" spans="1:10">
      <c r="A56" s="4" t="s">
        <v>236</v>
      </c>
      <c r="E56"/>
      <c r="F56"/>
      <c r="G56"/>
      <c r="H56"/>
      <c r="I56"/>
      <c r="J56"/>
    </row>
    <row r="57" spans="1:10">
      <c r="A57"/>
      <c r="E57"/>
      <c r="F57"/>
      <c r="G57"/>
      <c r="H57"/>
      <c r="I57"/>
      <c r="J57"/>
    </row>
    <row r="58" spans="1:10">
      <c r="A58"/>
      <c r="E58" s="17" t="s">
        <v>51</v>
      </c>
      <c r="F58" s="17" t="s">
        <v>52</v>
      </c>
      <c r="G58" s="17" t="s">
        <v>53</v>
      </c>
      <c r="H58" s="16" t="s">
        <v>54</v>
      </c>
      <c r="I58" s="17"/>
      <c r="J58" s="17"/>
    </row>
    <row r="59" spans="1:10">
      <c r="A59" t="s">
        <v>55</v>
      </c>
      <c r="E59" s="26">
        <f>F12</f>
        <v>1796945.2</v>
      </c>
      <c r="F59" s="3">
        <f>ROUND(E59*1.06,2)</f>
        <v>1904761.91</v>
      </c>
      <c r="G59" s="191">
        <f>ROUND(F59*0.9,2)</f>
        <v>1714285.72</v>
      </c>
      <c r="H59" s="45">
        <f>F59-G59</f>
        <v>190476.18999999994</v>
      </c>
      <c r="I59" s="75"/>
      <c r="J59"/>
    </row>
    <row r="60" spans="1:10">
      <c r="A60"/>
      <c r="B60" s="235" t="s">
        <v>245</v>
      </c>
      <c r="D60" s="50"/>
      <c r="E60"/>
      <c r="F60"/>
      <c r="G60"/>
      <c r="H60" s="46"/>
      <c r="I60"/>
      <c r="J60"/>
    </row>
    <row r="61" spans="1:10">
      <c r="A61"/>
      <c r="D61" s="50"/>
      <c r="E61" s="17" t="s">
        <v>51</v>
      </c>
      <c r="F61" s="17" t="s">
        <v>52</v>
      </c>
      <c r="G61" s="17" t="s">
        <v>56</v>
      </c>
      <c r="H61" s="46"/>
      <c r="I61"/>
      <c r="J61" s="26"/>
    </row>
    <row r="62" spans="1:10">
      <c r="A62" t="s">
        <v>248</v>
      </c>
      <c r="D62" s="106" t="s">
        <v>98</v>
      </c>
      <c r="E62" s="3">
        <v>201199.55</v>
      </c>
      <c r="F62" s="3">
        <f>ROUND(E62*1.06,2)</f>
        <v>213271.52</v>
      </c>
      <c r="G62" s="192">
        <f>F62</f>
        <v>213271.52</v>
      </c>
      <c r="H62" s="47">
        <f>F62-G62</f>
        <v>0</v>
      </c>
      <c r="I62"/>
      <c r="J62"/>
    </row>
    <row r="63" spans="1:10">
      <c r="A63"/>
      <c r="D63" s="50"/>
      <c r="G63"/>
      <c r="H63" s="48"/>
      <c r="I63"/>
      <c r="J63" s="26"/>
    </row>
    <row r="64" spans="1:10">
      <c r="A64"/>
      <c r="D64" s="50"/>
      <c r="E64" s="17" t="s">
        <v>51</v>
      </c>
      <c r="F64" s="17" t="s">
        <v>52</v>
      </c>
      <c r="G64" t="s">
        <v>239</v>
      </c>
      <c r="H64" s="46"/>
      <c r="I64"/>
      <c r="J64"/>
    </row>
    <row r="65" spans="1:13">
      <c r="A65" t="s">
        <v>243</v>
      </c>
      <c r="E65" s="26">
        <v>182960.1</v>
      </c>
      <c r="F65" s="3">
        <f>ROUND(E65*1.06,2)</f>
        <v>193937.71</v>
      </c>
      <c r="G65" s="191">
        <f>ROUND(75997.54*1.06,2)</f>
        <v>80557.39</v>
      </c>
      <c r="H65" s="49">
        <f>F65-G65</f>
        <v>113380.31999999999</v>
      </c>
      <c r="I65"/>
      <c r="J65"/>
    </row>
    <row r="66" spans="1:13">
      <c r="A66" s="100" t="s">
        <v>99</v>
      </c>
      <c r="E66" s="26"/>
      <c r="H66" s="47"/>
      <c r="I66"/>
      <c r="J66" s="197" t="s">
        <v>198</v>
      </c>
      <c r="K66" s="198"/>
      <c r="L66" s="199"/>
      <c r="M66" s="153"/>
    </row>
    <row r="67" spans="1:13" ht="19.5" customHeight="1">
      <c r="A67"/>
      <c r="C67" s="101" t="s">
        <v>237</v>
      </c>
      <c r="D67" s="102"/>
      <c r="E67" s="103">
        <f>F45</f>
        <v>2181852.92</v>
      </c>
      <c r="F67" s="103">
        <f>F59+F62+F65</f>
        <v>2311971.1399999997</v>
      </c>
      <c r="G67"/>
      <c r="H67" s="46"/>
      <c r="I67"/>
      <c r="J67" s="237" t="s">
        <v>199</v>
      </c>
      <c r="K67" s="238"/>
      <c r="L67" s="238"/>
      <c r="M67" s="239"/>
    </row>
    <row r="68" spans="1:13" ht="15" customHeight="1">
      <c r="A68" s="50"/>
      <c r="E68" s="26"/>
      <c r="H68" s="47"/>
      <c r="I68"/>
      <c r="J68" s="237"/>
      <c r="K68" s="238"/>
      <c r="L68" s="238"/>
      <c r="M68" s="239"/>
    </row>
    <row r="69" spans="1:13">
      <c r="A69" t="s">
        <v>194</v>
      </c>
      <c r="E69" s="26">
        <f>F48</f>
        <v>116101.1</v>
      </c>
      <c r="F69" s="3">
        <f>K191</f>
        <v>123067.17000000039</v>
      </c>
      <c r="H69" s="49">
        <f>F69</f>
        <v>123067.17000000039</v>
      </c>
      <c r="I69"/>
      <c r="J69" s="237"/>
      <c r="K69" s="238"/>
      <c r="L69" s="238"/>
      <c r="M69" s="239"/>
    </row>
    <row r="70" spans="1:13">
      <c r="A70" t="s">
        <v>238</v>
      </c>
      <c r="E70" s="26">
        <f>F46</f>
        <v>109092.65</v>
      </c>
      <c r="F70" s="3">
        <f>ROUND(E70*1.06,2)</f>
        <v>115638.21</v>
      </c>
      <c r="G70"/>
      <c r="H70" s="49">
        <f>F70</f>
        <v>115638.21</v>
      </c>
      <c r="I70"/>
      <c r="J70" s="79"/>
      <c r="M70" s="136"/>
    </row>
    <row r="71" spans="1:13">
      <c r="A71"/>
      <c r="E71" s="26"/>
      <c r="G71"/>
      <c r="H71" s="46"/>
      <c r="I71"/>
      <c r="J71" s="200" t="s">
        <v>200</v>
      </c>
      <c r="M71" s="136"/>
    </row>
    <row r="72" spans="1:13">
      <c r="A72"/>
      <c r="E72" t="s">
        <v>63</v>
      </c>
      <c r="F72" t="s">
        <v>64</v>
      </c>
      <c r="G72"/>
      <c r="H72" s="46"/>
      <c r="I72"/>
      <c r="J72" s="81" t="s">
        <v>21</v>
      </c>
      <c r="K72" s="4"/>
      <c r="L72" s="26">
        <f>G59</f>
        <v>1714285.72</v>
      </c>
      <c r="M72" s="136"/>
    </row>
    <row r="73" spans="1:13">
      <c r="A73" t="s">
        <v>196</v>
      </c>
      <c r="E73" s="26"/>
      <c r="G73"/>
      <c r="H73" s="46"/>
      <c r="I73"/>
      <c r="J73" s="81" t="s">
        <v>172</v>
      </c>
      <c r="L73" s="26">
        <f>G77</f>
        <v>85714.29</v>
      </c>
      <c r="M73" s="136"/>
    </row>
    <row r="74" spans="1:13">
      <c r="A74" t="s">
        <v>86</v>
      </c>
      <c r="E74" s="26">
        <f>ROUND(F47*0.09,2)</f>
        <v>206185.1</v>
      </c>
      <c r="F74" s="51">
        <f>ROUND(E74*1.21,2)</f>
        <v>249483.97</v>
      </c>
      <c r="G74" s="193" t="s">
        <v>240</v>
      </c>
      <c r="H74" s="46"/>
      <c r="J74" s="200" t="s">
        <v>201</v>
      </c>
      <c r="L74" s="39">
        <v>1800000</v>
      </c>
      <c r="M74" s="136"/>
    </row>
    <row r="75" spans="1:13">
      <c r="A75" t="s">
        <v>244</v>
      </c>
      <c r="E75" s="26">
        <f>ROUND(E69*0.09,2)</f>
        <v>10449.1</v>
      </c>
      <c r="F75" s="52">
        <f>ROUND(E75*1.21,2)</f>
        <v>12643.41</v>
      </c>
      <c r="G75" s="194">
        <f>SUM(F74:F75)</f>
        <v>262127.38</v>
      </c>
      <c r="H75" s="46"/>
      <c r="J75" s="81" t="s">
        <v>202</v>
      </c>
      <c r="L75" s="201">
        <f>ROUND(L74*0.7,2)</f>
        <v>1260000</v>
      </c>
      <c r="M75" s="136"/>
    </row>
    <row r="76" spans="1:13">
      <c r="A76" t="s">
        <v>57</v>
      </c>
      <c r="E76" s="3">
        <v>8850</v>
      </c>
      <c r="F76" s="52">
        <f>ROUND(E76*1.21,2)</f>
        <v>10708.5</v>
      </c>
      <c r="G76" s="16" t="s">
        <v>171</v>
      </c>
      <c r="H76" s="46"/>
      <c r="J76" s="200" t="s">
        <v>173</v>
      </c>
      <c r="L76" s="196">
        <f>L74-L75</f>
        <v>540000</v>
      </c>
      <c r="M76" s="136"/>
    </row>
    <row r="77" spans="1:13">
      <c r="A77"/>
      <c r="E77" s="42" t="s">
        <v>46</v>
      </c>
      <c r="F77" s="43">
        <f>SUM(F74:F76)</f>
        <v>272835.88</v>
      </c>
      <c r="G77" s="192">
        <f>F16</f>
        <v>85714.29</v>
      </c>
      <c r="H77" s="49">
        <f>F77-G77</f>
        <v>187121.59000000003</v>
      </c>
      <c r="J77" s="202" t="s">
        <v>174</v>
      </c>
      <c r="K77" s="203"/>
      <c r="L77" s="204"/>
      <c r="M77" s="205"/>
    </row>
    <row r="78" spans="1:13">
      <c r="A78" t="s">
        <v>197</v>
      </c>
      <c r="E78" s="42"/>
      <c r="F78" s="190">
        <v>100000</v>
      </c>
      <c r="G78" s="195"/>
      <c r="H78" s="53">
        <f>F78-G78</f>
        <v>100000</v>
      </c>
    </row>
    <row r="79" spans="1:13" ht="15.75" thickBot="1">
      <c r="E79" s="42"/>
      <c r="F79" s="39"/>
      <c r="G79" s="54"/>
      <c r="H79" s="39"/>
      <c r="I79"/>
    </row>
    <row r="80" spans="1:13" ht="15.75">
      <c r="A80" t="s">
        <v>74</v>
      </c>
      <c r="D80" s="55" t="s">
        <v>249</v>
      </c>
      <c r="E80" s="66"/>
      <c r="F80" s="56"/>
      <c r="G80" s="57">
        <f>+G59+G62+G65+G77</f>
        <v>2093828.92</v>
      </c>
      <c r="H80" s="58"/>
      <c r="I80"/>
    </row>
    <row r="81" spans="1:18" ht="15.75">
      <c r="A81"/>
      <c r="D81" s="59" t="s">
        <v>58</v>
      </c>
      <c r="E81" s="65"/>
      <c r="F81" s="1"/>
      <c r="G81" s="1"/>
      <c r="H81" s="67">
        <f>SUM(H59:H78)</f>
        <v>829683.48000000045</v>
      </c>
      <c r="I81"/>
    </row>
    <row r="82" spans="1:18" ht="16.5" thickBot="1">
      <c r="A82"/>
      <c r="D82" s="60" t="s">
        <v>59</v>
      </c>
      <c r="E82" s="68"/>
      <c r="F82" s="61"/>
      <c r="G82" s="245">
        <f>+H81+G80</f>
        <v>2923512.4000000004</v>
      </c>
      <c r="H82" s="246"/>
      <c r="I82"/>
      <c r="J82"/>
    </row>
    <row r="83" spans="1:18" ht="19.5" customHeight="1">
      <c r="A83"/>
      <c r="E83"/>
      <c r="F83"/>
      <c r="G83"/>
      <c r="H83"/>
      <c r="I83"/>
      <c r="J83"/>
    </row>
    <row r="84" spans="1:18" ht="19.5" customHeight="1">
      <c r="A84" s="7"/>
    </row>
    <row r="85" spans="1:18" ht="19.5" customHeight="1">
      <c r="A85" s="228" t="s">
        <v>250</v>
      </c>
      <c r="B85" s="229"/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30"/>
      <c r="N85" s="234"/>
      <c r="O85" s="234"/>
    </row>
    <row r="86" spans="1:18" s="1" customFormat="1" ht="15.75">
      <c r="A86" s="7"/>
      <c r="B86"/>
      <c r="C86"/>
      <c r="D86"/>
      <c r="E86" s="3"/>
      <c r="F86" s="3"/>
      <c r="G86" s="3"/>
      <c r="H86" s="3"/>
      <c r="I86" s="3"/>
      <c r="J86" s="3"/>
      <c r="K86"/>
      <c r="L86" s="17"/>
      <c r="M86"/>
      <c r="N86"/>
      <c r="O86"/>
      <c r="P86"/>
      <c r="Q86"/>
      <c r="R86"/>
    </row>
    <row r="87" spans="1:18" ht="15.75" customHeight="1">
      <c r="A87" s="82" t="s">
        <v>77</v>
      </c>
      <c r="B87" s="1"/>
      <c r="C87" s="1"/>
      <c r="D87" s="1"/>
      <c r="E87" s="12"/>
      <c r="F87" s="12"/>
      <c r="G87" s="12"/>
      <c r="H87" s="12"/>
      <c r="I87" s="12"/>
      <c r="J87" s="12"/>
      <c r="K87" s="1"/>
      <c r="L87" s="1"/>
      <c r="M87" s="1"/>
      <c r="N87" s="1"/>
      <c r="O87" s="1"/>
      <c r="P87" s="1"/>
      <c r="Q87" s="1"/>
      <c r="R87" s="1"/>
    </row>
    <row r="88" spans="1:18" ht="15" customHeight="1">
      <c r="A88" s="2" t="s">
        <v>11</v>
      </c>
      <c r="B88" s="2"/>
      <c r="C88" s="2"/>
      <c r="D88" s="2"/>
      <c r="E88" s="2"/>
      <c r="F88" s="2"/>
      <c r="G88" s="2"/>
      <c r="H88" s="2"/>
      <c r="I88" s="2"/>
      <c r="L88"/>
    </row>
    <row r="89" spans="1:18">
      <c r="L89"/>
    </row>
    <row r="90" spans="1:18">
      <c r="A90" s="251" t="s">
        <v>135</v>
      </c>
      <c r="B90" s="252"/>
      <c r="C90" s="253"/>
      <c r="L90"/>
    </row>
    <row r="91" spans="1:18">
      <c r="B91" t="s">
        <v>4</v>
      </c>
      <c r="E91" s="3">
        <f>G47</f>
        <v>2428402.2999999998</v>
      </c>
      <c r="F91" s="3" t="s">
        <v>33</v>
      </c>
      <c r="L91"/>
    </row>
    <row r="92" spans="1:18">
      <c r="B92" t="s">
        <v>5</v>
      </c>
      <c r="E92" s="30">
        <f>F74</f>
        <v>249483.97</v>
      </c>
      <c r="F92" s="3" t="s">
        <v>75</v>
      </c>
      <c r="I92" s="3" t="s">
        <v>175</v>
      </c>
      <c r="L92"/>
    </row>
    <row r="93" spans="1:18">
      <c r="B93" t="s">
        <v>6</v>
      </c>
      <c r="E93" s="33">
        <v>10708.5</v>
      </c>
      <c r="F93" s="3" t="s">
        <v>32</v>
      </c>
      <c r="I93" s="3" t="s">
        <v>176</v>
      </c>
      <c r="J93" s="15"/>
      <c r="K93" s="3"/>
      <c r="L93" s="26"/>
    </row>
    <row r="94" spans="1:18">
      <c r="E94" s="13">
        <f>SUM(E91:E93)</f>
        <v>2688594.77</v>
      </c>
      <c r="F94" s="3" t="s">
        <v>34</v>
      </c>
      <c r="I94" s="15" t="s">
        <v>177</v>
      </c>
      <c r="L94"/>
    </row>
    <row r="95" spans="1:18">
      <c r="B95" t="s">
        <v>28</v>
      </c>
      <c r="E95" s="3">
        <f>K191</f>
        <v>123067.17000000039</v>
      </c>
      <c r="F95" s="3" t="s">
        <v>35</v>
      </c>
      <c r="G95" s="3">
        <f>ROUND(E95/1.06,2)</f>
        <v>116101.1</v>
      </c>
      <c r="H95" s="3" t="s">
        <v>36</v>
      </c>
      <c r="I95" s="73">
        <f>E92+E93+E96</f>
        <v>272835.88</v>
      </c>
      <c r="L95"/>
    </row>
    <row r="96" spans="1:18">
      <c r="B96" t="s">
        <v>31</v>
      </c>
      <c r="E96" s="30">
        <f>ROUND(G96*1.21,2)</f>
        <v>12643.41</v>
      </c>
      <c r="F96" s="3" t="s">
        <v>32</v>
      </c>
      <c r="G96" s="3">
        <f>ROUND(G95*0.09,2)</f>
        <v>10449.1</v>
      </c>
      <c r="H96" s="3" t="s">
        <v>36</v>
      </c>
      <c r="I96" s="15"/>
      <c r="L96"/>
    </row>
    <row r="97" spans="1:18">
      <c r="B97" t="s">
        <v>147</v>
      </c>
      <c r="E97" s="172">
        <v>100000</v>
      </c>
      <c r="L97"/>
    </row>
    <row r="98" spans="1:18" s="17" customFormat="1">
      <c r="A98" s="9"/>
      <c r="B98" s="4" t="s">
        <v>29</v>
      </c>
      <c r="C98"/>
      <c r="D98"/>
      <c r="E98" s="69">
        <f>SUM(E94:E97)</f>
        <v>2924305.3500000006</v>
      </c>
      <c r="F98" s="3" t="s">
        <v>34</v>
      </c>
      <c r="G98" s="3"/>
      <c r="I98" s="3"/>
      <c r="J98" s="3"/>
      <c r="K98"/>
      <c r="L98"/>
      <c r="M98"/>
      <c r="N98"/>
      <c r="O98"/>
      <c r="P98"/>
      <c r="Q98"/>
      <c r="R98"/>
    </row>
    <row r="99" spans="1:18">
      <c r="A99" s="17"/>
      <c r="B99" s="17"/>
      <c r="C99" s="17"/>
      <c r="D99" s="17"/>
      <c r="E99" s="17"/>
      <c r="F99" s="17"/>
      <c r="G99" s="17"/>
      <c r="I99" s="17"/>
      <c r="J99" s="17"/>
      <c r="K99" s="17"/>
      <c r="M99" s="17"/>
      <c r="N99" s="17"/>
      <c r="O99" s="17"/>
      <c r="P99" s="17"/>
      <c r="Q99" s="17"/>
      <c r="R99" s="17"/>
    </row>
    <row r="100" spans="1:18">
      <c r="A100" s="10" t="s">
        <v>30</v>
      </c>
      <c r="C100" s="16" t="s">
        <v>204</v>
      </c>
      <c r="L100"/>
    </row>
    <row r="101" spans="1:18">
      <c r="A101" s="238" t="s">
        <v>87</v>
      </c>
      <c r="B101" s="238"/>
      <c r="C101" s="238"/>
      <c r="D101" s="238"/>
      <c r="E101" s="238"/>
      <c r="F101" s="238"/>
      <c r="G101" s="238"/>
      <c r="H101" s="238"/>
      <c r="L101"/>
    </row>
    <row r="102" spans="1:18">
      <c r="A102" s="76" t="s">
        <v>76</v>
      </c>
      <c r="B102" s="77"/>
      <c r="C102" s="77"/>
      <c r="D102" s="77"/>
      <c r="E102" s="78"/>
      <c r="F102" s="78"/>
      <c r="G102" s="78"/>
      <c r="H102" s="78"/>
      <c r="L102"/>
    </row>
    <row r="103" spans="1:18">
      <c r="A103" s="9" t="s">
        <v>100</v>
      </c>
    </row>
    <row r="104" spans="1:18">
      <c r="B104" s="4" t="s">
        <v>88</v>
      </c>
      <c r="C104" s="17" t="s">
        <v>223</v>
      </c>
      <c r="D104" t="s">
        <v>89</v>
      </c>
      <c r="H104" s="3">
        <f>ROUND((G39+(J39*0.2))*1.05,2)</f>
        <v>1518476.77</v>
      </c>
      <c r="I104" s="3" t="s">
        <v>103</v>
      </c>
    </row>
    <row r="105" spans="1:18">
      <c r="B105" s="4"/>
      <c r="C105" s="17"/>
      <c r="D105" t="s">
        <v>221</v>
      </c>
    </row>
    <row r="106" spans="1:18">
      <c r="B106" s="4"/>
      <c r="C106" s="104" t="s">
        <v>96</v>
      </c>
      <c r="D106" t="s">
        <v>95</v>
      </c>
    </row>
    <row r="107" spans="1:18">
      <c r="B107" s="4" t="s">
        <v>90</v>
      </c>
      <c r="C107" s="17" t="s">
        <v>91</v>
      </c>
      <c r="D107" t="s">
        <v>92</v>
      </c>
      <c r="H107" s="3">
        <f>ROUND((H39+I39+(J39*0.2))*1.05,2)</f>
        <v>683009.09</v>
      </c>
      <c r="I107" s="3" t="s">
        <v>103</v>
      </c>
    </row>
    <row r="108" spans="1:18">
      <c r="B108" s="4"/>
      <c r="C108" s="17"/>
      <c r="D108" t="s">
        <v>203</v>
      </c>
    </row>
    <row r="109" spans="1:18">
      <c r="B109" s="4"/>
      <c r="C109" s="104" t="s">
        <v>96</v>
      </c>
      <c r="D109" t="s">
        <v>97</v>
      </c>
    </row>
    <row r="110" spans="1:18">
      <c r="B110" s="4" t="s">
        <v>93</v>
      </c>
      <c r="C110" s="17" t="s">
        <v>224</v>
      </c>
      <c r="D110" s="4" t="s">
        <v>94</v>
      </c>
      <c r="H110" s="3">
        <f>ROUND((J39*0.6)*1.05,2)</f>
        <v>226916.44</v>
      </c>
      <c r="I110" s="3" t="s">
        <v>103</v>
      </c>
    </row>
    <row r="111" spans="1:18">
      <c r="B111" s="4"/>
      <c r="C111" s="17"/>
      <c r="D111" t="s">
        <v>222</v>
      </c>
    </row>
    <row r="112" spans="1:18">
      <c r="B112" t="s">
        <v>208</v>
      </c>
      <c r="C112" s="105" t="s">
        <v>225</v>
      </c>
      <c r="G112" s="107" t="s">
        <v>24</v>
      </c>
      <c r="H112" s="108">
        <f>SUM(H104:H110)</f>
        <v>2428402.2999999998</v>
      </c>
      <c r="I112" s="3" t="s">
        <v>103</v>
      </c>
      <c r="L112"/>
    </row>
    <row r="113" spans="1:18">
      <c r="C113" s="220"/>
      <c r="G113" s="65"/>
      <c r="H113" s="65"/>
      <c r="L113"/>
    </row>
    <row r="114" spans="1:18">
      <c r="A114" s="10" t="s">
        <v>205</v>
      </c>
      <c r="B114" s="17">
        <v>2024</v>
      </c>
      <c r="C114" s="220" t="s">
        <v>206</v>
      </c>
      <c r="G114" s="65"/>
      <c r="H114" s="65"/>
      <c r="L114"/>
    </row>
    <row r="115" spans="1:18">
      <c r="B115" s="17">
        <v>2024</v>
      </c>
      <c r="C115" s="220" t="s">
        <v>206</v>
      </c>
      <c r="G115" s="65"/>
      <c r="H115" s="65"/>
      <c r="L115"/>
    </row>
    <row r="116" spans="1:18">
      <c r="B116" s="17">
        <v>2026</v>
      </c>
      <c r="C116" s="220" t="s">
        <v>207</v>
      </c>
      <c r="G116" s="65"/>
      <c r="H116" s="65"/>
      <c r="L116"/>
    </row>
    <row r="117" spans="1:18">
      <c r="A117" s="10" t="s">
        <v>209</v>
      </c>
      <c r="C117" s="105" t="s">
        <v>226</v>
      </c>
      <c r="D117" s="4" t="s">
        <v>227</v>
      </c>
      <c r="G117" s="65"/>
      <c r="H117" s="65"/>
      <c r="L117"/>
    </row>
    <row r="118" spans="1:18">
      <c r="L118"/>
    </row>
    <row r="119" spans="1:18">
      <c r="L119"/>
      <c r="N119" s="164" t="s">
        <v>161</v>
      </c>
      <c r="O119" s="95"/>
      <c r="P119" s="95"/>
      <c r="Q119" s="86"/>
    </row>
    <row r="120" spans="1:18" ht="15" customHeight="1">
      <c r="A120" s="8" t="s">
        <v>195</v>
      </c>
      <c r="E120"/>
      <c r="L120"/>
    </row>
    <row r="121" spans="1:18" s="21" customFormat="1">
      <c r="A121" s="9"/>
      <c r="B121"/>
      <c r="C121"/>
      <c r="D121"/>
      <c r="E121" s="240" t="s">
        <v>138</v>
      </c>
      <c r="F121" s="241"/>
      <c r="G121" s="242"/>
      <c r="H121" s="3"/>
      <c r="I121" s="226" t="s">
        <v>140</v>
      </c>
      <c r="J121" s="227"/>
      <c r="K121" s="227"/>
      <c r="L121" s="163"/>
      <c r="M121"/>
      <c r="N121" s="206" t="s">
        <v>157</v>
      </c>
      <c r="O121" s="207" t="s">
        <v>162</v>
      </c>
      <c r="P121" s="207" t="s">
        <v>158</v>
      </c>
      <c r="Q121" s="207" t="s">
        <v>159</v>
      </c>
      <c r="R121" s="208" t="s">
        <v>160</v>
      </c>
    </row>
    <row r="122" spans="1:18" s="21" customFormat="1">
      <c r="A122" s="16" t="s">
        <v>7</v>
      </c>
      <c r="B122" s="16" t="s">
        <v>8</v>
      </c>
      <c r="C122" s="16"/>
      <c r="D122" s="16" t="s">
        <v>20</v>
      </c>
      <c r="E122" s="109" t="s">
        <v>20</v>
      </c>
      <c r="F122" s="133" t="s">
        <v>137</v>
      </c>
      <c r="G122" s="110" t="s">
        <v>139</v>
      </c>
      <c r="H122" s="14"/>
      <c r="I122" s="150"/>
      <c r="J122" s="151"/>
      <c r="K122" s="152"/>
      <c r="L122" s="153"/>
      <c r="N122" s="134"/>
      <c r="R122" s="135"/>
    </row>
    <row r="123" spans="1:18">
      <c r="A123" s="10"/>
      <c r="B123" s="4"/>
      <c r="C123" s="4"/>
      <c r="D123" s="4"/>
      <c r="E123" s="134"/>
      <c r="F123" s="21"/>
      <c r="G123" s="135"/>
      <c r="H123" s="4"/>
      <c r="I123" s="154"/>
      <c r="J123" s="115"/>
      <c r="K123" s="115"/>
      <c r="L123" s="136"/>
      <c r="M123" s="21"/>
      <c r="N123" s="134" t="s">
        <v>218</v>
      </c>
      <c r="O123" s="21" t="s">
        <v>67</v>
      </c>
      <c r="P123" s="209">
        <v>180000</v>
      </c>
      <c r="Q123" s="209">
        <f>P123</f>
        <v>180000</v>
      </c>
      <c r="R123" s="141">
        <f>Q123</f>
        <v>180000</v>
      </c>
    </row>
    <row r="124" spans="1:18">
      <c r="A124" s="18" t="s">
        <v>118</v>
      </c>
      <c r="B124" s="19"/>
      <c r="C124" s="19"/>
      <c r="D124" s="132"/>
      <c r="E124" s="79"/>
      <c r="F124" s="65"/>
      <c r="G124" s="80"/>
      <c r="H124" s="4"/>
      <c r="I124" s="154"/>
      <c r="J124" s="65"/>
      <c r="K124" s="65"/>
      <c r="L124" s="136"/>
      <c r="N124" s="81" t="s">
        <v>219</v>
      </c>
      <c r="O124" t="s">
        <v>163</v>
      </c>
      <c r="P124" s="65">
        <v>75000</v>
      </c>
      <c r="Q124" s="209">
        <f>Q123+P124</f>
        <v>255000</v>
      </c>
      <c r="R124" s="141">
        <f>Q124</f>
        <v>255000</v>
      </c>
    </row>
    <row r="125" spans="1:18" s="21" customFormat="1">
      <c r="A125" s="116"/>
      <c r="B125" s="4" t="s">
        <v>210</v>
      </c>
      <c r="C125" s="4"/>
      <c r="D125"/>
      <c r="E125" s="81"/>
      <c r="F125"/>
      <c r="G125" s="136"/>
      <c r="H125" s="117"/>
      <c r="I125" s="155"/>
      <c r="J125" s="118"/>
      <c r="K125" s="118"/>
      <c r="L125" s="136"/>
      <c r="M125"/>
      <c r="N125" s="81"/>
      <c r="O125"/>
      <c r="P125" s="118"/>
      <c r="Q125" s="209"/>
      <c r="R125" s="210"/>
    </row>
    <row r="126" spans="1:18">
      <c r="A126" s="11">
        <v>45056</v>
      </c>
      <c r="B126" s="23" t="s">
        <v>9</v>
      </c>
      <c r="C126" s="23"/>
      <c r="D126" s="221">
        <v>0.1</v>
      </c>
      <c r="E126" s="144">
        <v>20691</v>
      </c>
      <c r="F126"/>
      <c r="G126" s="138">
        <f>E126</f>
        <v>20691</v>
      </c>
      <c r="H126" s="118"/>
      <c r="I126" s="134"/>
      <c r="J126" s="21"/>
      <c r="L126" s="135"/>
      <c r="M126" s="21"/>
      <c r="N126" s="211">
        <f t="shared" ref="N126:N132" si="2">G126+L126</f>
        <v>20691</v>
      </c>
      <c r="O126" s="37"/>
      <c r="P126" s="122"/>
      <c r="Q126" s="209">
        <f>Q124+P126</f>
        <v>255000</v>
      </c>
      <c r="R126" s="141">
        <f>Q124-N126</f>
        <v>234309</v>
      </c>
    </row>
    <row r="127" spans="1:18" s="21" customFormat="1">
      <c r="A127" s="11">
        <v>45091</v>
      </c>
      <c r="B127" s="23" t="s">
        <v>10</v>
      </c>
      <c r="C127" s="23"/>
      <c r="D127" s="221" t="s">
        <v>211</v>
      </c>
      <c r="E127" s="144">
        <v>31036.5</v>
      </c>
      <c r="F127"/>
      <c r="G127" s="138">
        <f>G126+E127+F127</f>
        <v>51727.5</v>
      </c>
      <c r="H127" s="118"/>
      <c r="I127" s="81"/>
      <c r="J127"/>
      <c r="K127"/>
      <c r="L127" s="136"/>
      <c r="M127"/>
      <c r="N127" s="211">
        <f t="shared" si="2"/>
        <v>51727.5</v>
      </c>
      <c r="O127" s="37"/>
      <c r="P127" s="118"/>
      <c r="Q127" s="209">
        <f t="shared" ref="Q127:Q148" si="3">Q126+P127</f>
        <v>255000</v>
      </c>
      <c r="R127" s="210">
        <f t="shared" ref="R127:R184" si="4">Q127-N127</f>
        <v>203272.5</v>
      </c>
    </row>
    <row r="128" spans="1:18" s="21" customFormat="1">
      <c r="A128" s="11">
        <v>45139</v>
      </c>
      <c r="B128" s="127" t="s">
        <v>121</v>
      </c>
      <c r="C128" s="127"/>
      <c r="D128" s="130"/>
      <c r="E128" s="139"/>
      <c r="F128" s="129">
        <v>25000</v>
      </c>
      <c r="G128" s="138">
        <f>G127+E128+F128</f>
        <v>76727.5</v>
      </c>
      <c r="H128" s="118"/>
      <c r="I128" s="134"/>
      <c r="L128" s="135"/>
      <c r="N128" s="211">
        <f t="shared" si="2"/>
        <v>76727.5</v>
      </c>
      <c r="O128" s="37"/>
      <c r="P128" s="122"/>
      <c r="Q128" s="209">
        <f>Q127+P128</f>
        <v>255000</v>
      </c>
      <c r="R128" s="210">
        <f t="shared" si="4"/>
        <v>178272.5</v>
      </c>
    </row>
    <row r="129" spans="1:18" s="21" customFormat="1">
      <c r="A129" s="11">
        <v>45153</v>
      </c>
      <c r="B129" t="s">
        <v>12</v>
      </c>
      <c r="C129" s="23"/>
      <c r="D129" s="221" t="s">
        <v>212</v>
      </c>
      <c r="E129" s="144">
        <f>83090.7-SUM(E126:E127)</f>
        <v>31363.199999999997</v>
      </c>
      <c r="F129" s="17"/>
      <c r="G129" s="138">
        <f t="shared" ref="G129:G132" si="5">G128+E129+F129</f>
        <v>108090.7</v>
      </c>
      <c r="H129" s="118"/>
      <c r="I129" s="134"/>
      <c r="K129" s="17"/>
      <c r="L129" s="135"/>
      <c r="N129" s="211">
        <f t="shared" si="2"/>
        <v>108090.7</v>
      </c>
      <c r="O129" s="37"/>
      <c r="P129" s="122"/>
      <c r="Q129" s="209">
        <f t="shared" si="3"/>
        <v>255000</v>
      </c>
      <c r="R129" s="210">
        <f t="shared" si="4"/>
        <v>146909.29999999999</v>
      </c>
    </row>
    <row r="130" spans="1:18" s="21" customFormat="1">
      <c r="A130" s="11">
        <v>45170</v>
      </c>
      <c r="B130" s="31" t="s">
        <v>17</v>
      </c>
      <c r="C130" s="31"/>
      <c r="D130" s="223"/>
      <c r="E130" s="140">
        <f>ROUND(950*1.21,2)</f>
        <v>1149.5</v>
      </c>
      <c r="F130"/>
      <c r="G130" s="138">
        <f t="shared" si="5"/>
        <v>109240.2</v>
      </c>
      <c r="H130" s="118"/>
      <c r="I130" s="134"/>
      <c r="K130"/>
      <c r="L130" s="135"/>
      <c r="N130" s="211">
        <f t="shared" si="2"/>
        <v>109240.2</v>
      </c>
      <c r="O130" s="37"/>
      <c r="P130" s="122"/>
      <c r="Q130" s="209">
        <f t="shared" si="3"/>
        <v>255000</v>
      </c>
      <c r="R130" s="210">
        <f t="shared" si="4"/>
        <v>145759.79999999999</v>
      </c>
    </row>
    <row r="131" spans="1:18" s="21" customFormat="1">
      <c r="A131" s="11">
        <v>45229</v>
      </c>
      <c r="B131" s="23" t="s">
        <v>13</v>
      </c>
      <c r="C131" s="23"/>
      <c r="D131" s="221" t="s">
        <v>213</v>
      </c>
      <c r="E131" s="144">
        <f>ROUND(E92*0.45,2)-E129-E127-E126</f>
        <v>29177.089999999997</v>
      </c>
      <c r="F131"/>
      <c r="G131" s="138">
        <f t="shared" si="5"/>
        <v>138417.28999999998</v>
      </c>
      <c r="H131" s="118"/>
      <c r="I131" s="134"/>
      <c r="K131"/>
      <c r="L131" s="135"/>
      <c r="N131" s="211">
        <f t="shared" si="2"/>
        <v>138417.28999999998</v>
      </c>
      <c r="O131" s="37"/>
      <c r="P131" s="122"/>
      <c r="Q131" s="209">
        <f t="shared" si="3"/>
        <v>255000</v>
      </c>
      <c r="R131" s="210">
        <f t="shared" si="4"/>
        <v>116582.71000000002</v>
      </c>
    </row>
    <row r="132" spans="1:18" s="21" customFormat="1">
      <c r="A132" s="11">
        <v>45275</v>
      </c>
      <c r="B132" s="23" t="s">
        <v>14</v>
      </c>
      <c r="C132" s="23"/>
      <c r="D132" s="221" t="s">
        <v>214</v>
      </c>
      <c r="E132" s="144">
        <f>ROUND(E92*0.55,2)-E131-E129-E127-E126</f>
        <v>24948.39</v>
      </c>
      <c r="F132"/>
      <c r="G132" s="138">
        <f t="shared" si="5"/>
        <v>163365.68</v>
      </c>
      <c r="H132" s="118"/>
      <c r="I132" s="134"/>
      <c r="K132"/>
      <c r="L132" s="135"/>
      <c r="N132" s="211">
        <f t="shared" si="2"/>
        <v>163365.68</v>
      </c>
      <c r="O132" s="37"/>
      <c r="P132" s="122"/>
      <c r="Q132" s="209">
        <f t="shared" si="3"/>
        <v>255000</v>
      </c>
      <c r="R132" s="210">
        <f t="shared" si="4"/>
        <v>91634.32</v>
      </c>
    </row>
    <row r="133" spans="1:18" s="21" customFormat="1">
      <c r="A133" s="11"/>
      <c r="B133"/>
      <c r="C133"/>
      <c r="D133" s="114"/>
      <c r="E133" s="134"/>
      <c r="G133" s="135"/>
      <c r="I133" s="137"/>
      <c r="J133"/>
      <c r="K133"/>
      <c r="L133" s="138"/>
      <c r="M133" s="36"/>
      <c r="N133" s="211"/>
      <c r="O133" s="37"/>
      <c r="P133" s="122"/>
      <c r="Q133" s="209"/>
      <c r="R133" s="210"/>
    </row>
    <row r="134" spans="1:18">
      <c r="D134" s="26"/>
      <c r="E134" s="134"/>
      <c r="F134" s="21"/>
      <c r="G134" s="135"/>
      <c r="H134" s="21"/>
      <c r="I134" s="109" t="s">
        <v>101</v>
      </c>
      <c r="J134" s="110" t="s">
        <v>141</v>
      </c>
      <c r="K134" s="21"/>
      <c r="L134" s="83" t="s">
        <v>131</v>
      </c>
      <c r="M134" s="21"/>
      <c r="N134" s="211"/>
      <c r="O134" s="37"/>
      <c r="P134" s="209"/>
      <c r="Q134" s="209"/>
      <c r="R134" s="210"/>
    </row>
    <row r="135" spans="1:18">
      <c r="A135" s="18" t="s">
        <v>231</v>
      </c>
      <c r="B135" s="19"/>
      <c r="C135" s="19"/>
      <c r="D135" s="132"/>
      <c r="E135" s="79"/>
      <c r="F135" s="65"/>
      <c r="G135" s="80"/>
      <c r="I135" s="111">
        <f>H104</f>
        <v>1518476.77</v>
      </c>
      <c r="J135" s="112">
        <f>ROUND(I135/12,2)</f>
        <v>126539.73</v>
      </c>
      <c r="K135" s="65"/>
      <c r="L135" s="80"/>
      <c r="M135" s="21"/>
      <c r="N135" s="211"/>
      <c r="O135" s="37"/>
      <c r="P135" s="65"/>
      <c r="Q135" s="209"/>
      <c r="R135" s="210"/>
    </row>
    <row r="136" spans="1:18" s="21" customFormat="1">
      <c r="A136" s="113"/>
      <c r="B136" s="113"/>
      <c r="C136" s="4"/>
      <c r="D136"/>
      <c r="E136" s="79"/>
      <c r="F136" s="65"/>
      <c r="G136" s="80"/>
      <c r="H136" s="3"/>
      <c r="I136" s="154" t="s">
        <v>21</v>
      </c>
      <c r="J136" s="115" t="s">
        <v>22</v>
      </c>
      <c r="K136" s="115" t="s">
        <v>23</v>
      </c>
      <c r="L136" s="80"/>
      <c r="N136" s="211"/>
      <c r="O136" s="37"/>
      <c r="P136" s="65"/>
      <c r="Q136" s="209"/>
      <c r="R136" s="210"/>
    </row>
    <row r="137" spans="1:18" s="21" customFormat="1">
      <c r="A137" s="22">
        <v>45352</v>
      </c>
      <c r="B137" s="21" t="s">
        <v>104</v>
      </c>
      <c r="D137" s="25"/>
      <c r="E137" s="134"/>
      <c r="G137" s="135"/>
      <c r="I137" s="79">
        <f>$J135</f>
        <v>126539.73</v>
      </c>
      <c r="J137" s="156">
        <v>1</v>
      </c>
      <c r="K137" s="122">
        <f>ROUND(I137*J137,2)</f>
        <v>126539.73</v>
      </c>
      <c r="L137" s="138">
        <f>K137</f>
        <v>126539.73</v>
      </c>
      <c r="N137" s="211">
        <f>G132+L137</f>
        <v>289905.40999999997</v>
      </c>
      <c r="O137" s="37" t="s">
        <v>169</v>
      </c>
      <c r="P137" s="209">
        <v>1260000</v>
      </c>
      <c r="Q137" s="209">
        <f>Q132+P137</f>
        <v>1515000</v>
      </c>
      <c r="R137" s="210">
        <f t="shared" si="4"/>
        <v>1225094.5900000001</v>
      </c>
    </row>
    <row r="138" spans="1:18">
      <c r="A138" s="22">
        <v>45383</v>
      </c>
      <c r="B138" s="21" t="s">
        <v>105</v>
      </c>
      <c r="C138" s="21"/>
      <c r="D138" s="25"/>
      <c r="E138" s="134"/>
      <c r="F138" s="21"/>
      <c r="G138" s="135"/>
      <c r="H138" s="21"/>
      <c r="I138" s="79">
        <f>J135</f>
        <v>126539.73</v>
      </c>
      <c r="J138" s="156">
        <f>J137+0.005</f>
        <v>1.0049999999999999</v>
      </c>
      <c r="K138" s="122">
        <f>ROUND(I138*J138,2)</f>
        <v>127172.43</v>
      </c>
      <c r="L138" s="138">
        <f>L137+K138</f>
        <v>253712.15999999997</v>
      </c>
      <c r="M138" s="21"/>
      <c r="N138" s="211">
        <f>L138+G132</f>
        <v>417077.83999999997</v>
      </c>
      <c r="O138" s="37"/>
      <c r="P138" s="209"/>
      <c r="Q138" s="209">
        <f t="shared" si="3"/>
        <v>1515000</v>
      </c>
      <c r="R138" s="210">
        <f t="shared" si="4"/>
        <v>1097922.1600000001</v>
      </c>
    </row>
    <row r="139" spans="1:18" s="21" customFormat="1">
      <c r="A139" s="22">
        <v>45413</v>
      </c>
      <c r="B139" s="21" t="s">
        <v>106</v>
      </c>
      <c r="D139" s="25"/>
      <c r="E139" s="79"/>
      <c r="F139" s="65"/>
      <c r="G139" s="80"/>
      <c r="H139" s="3"/>
      <c r="I139" s="79">
        <f>J135</f>
        <v>126539.73</v>
      </c>
      <c r="J139" s="156">
        <f>J138+0.005</f>
        <v>1.0099999999999998</v>
      </c>
      <c r="K139" s="122">
        <f>ROUND(I139*J139,2)</f>
        <v>127805.13</v>
      </c>
      <c r="L139" s="138">
        <f t="shared" ref="L139:L152" si="6">L138+K139</f>
        <v>381517.29</v>
      </c>
      <c r="M139"/>
      <c r="N139" s="211">
        <f>L139+G132</f>
        <v>544882.97</v>
      </c>
      <c r="O139" s="37"/>
      <c r="P139" s="65"/>
      <c r="Q139" s="209">
        <f t="shared" si="3"/>
        <v>1515000</v>
      </c>
      <c r="R139" s="210">
        <f t="shared" si="4"/>
        <v>970117.03</v>
      </c>
    </row>
    <row r="140" spans="1:18" s="21" customFormat="1">
      <c r="A140" s="22">
        <v>45444</v>
      </c>
      <c r="B140" s="21" t="s">
        <v>107</v>
      </c>
      <c r="D140" s="25"/>
      <c r="E140" s="134"/>
      <c r="G140" s="135"/>
      <c r="I140" s="137">
        <f>J135</f>
        <v>126539.73</v>
      </c>
      <c r="J140" s="156">
        <f t="shared" ref="J140" si="7">J139+0.005</f>
        <v>1.0149999999999997</v>
      </c>
      <c r="K140" s="122">
        <f>ROUND(I140*J140,2)</f>
        <v>128437.83</v>
      </c>
      <c r="L140" s="138">
        <f t="shared" si="6"/>
        <v>509955.12</v>
      </c>
      <c r="N140" s="211">
        <f>L140+G132</f>
        <v>673320.8</v>
      </c>
      <c r="O140" s="37"/>
      <c r="P140" s="209"/>
      <c r="Q140" s="209">
        <f t="shared" si="3"/>
        <v>1515000</v>
      </c>
      <c r="R140" s="210">
        <f t="shared" si="4"/>
        <v>841679.2</v>
      </c>
    </row>
    <row r="141" spans="1:18" s="21" customFormat="1">
      <c r="A141" s="11"/>
      <c r="B141" s="31" t="s">
        <v>18</v>
      </c>
      <c r="C141" s="31"/>
      <c r="D141" s="222"/>
      <c r="E141" s="140">
        <f>ROUND(7250*0.2*1.21,2)</f>
        <v>1754.5</v>
      </c>
      <c r="G141" s="141">
        <f>G132+E141</f>
        <v>165120.18</v>
      </c>
      <c r="H141" s="37"/>
      <c r="I141" s="134"/>
      <c r="J141" s="157"/>
      <c r="K141" s="122"/>
      <c r="L141" s="138"/>
      <c r="N141" s="211">
        <f>L140+G141</f>
        <v>675075.3</v>
      </c>
      <c r="O141" s="37"/>
      <c r="P141" s="209"/>
      <c r="Q141" s="209">
        <f t="shared" si="3"/>
        <v>1515000</v>
      </c>
      <c r="R141" s="210">
        <f t="shared" si="4"/>
        <v>839924.7</v>
      </c>
    </row>
    <row r="142" spans="1:18" s="21" customFormat="1">
      <c r="A142" s="11">
        <v>45108</v>
      </c>
      <c r="B142" s="231" t="s">
        <v>228</v>
      </c>
      <c r="C142"/>
      <c r="E142" s="137"/>
      <c r="G142" s="141"/>
      <c r="H142" s="37"/>
      <c r="I142" s="134"/>
      <c r="J142" s="156">
        <f>J140+0.005</f>
        <v>1.0199999999999996</v>
      </c>
      <c r="K142" s="122"/>
      <c r="L142" s="138"/>
      <c r="N142" s="211"/>
      <c r="O142" s="37"/>
      <c r="P142" s="122"/>
      <c r="Q142" s="122"/>
      <c r="R142" s="210"/>
    </row>
    <row r="143" spans="1:18">
      <c r="A143" s="22">
        <v>45505</v>
      </c>
      <c r="B143" s="21" t="s">
        <v>108</v>
      </c>
      <c r="C143" s="21"/>
      <c r="D143" s="25"/>
      <c r="E143" s="134"/>
      <c r="F143" s="21"/>
      <c r="G143" s="135"/>
      <c r="H143" s="21"/>
      <c r="I143" s="137">
        <f>J135</f>
        <v>126539.73</v>
      </c>
      <c r="J143" s="156">
        <f>J142+0.005</f>
        <v>1.0249999999999995</v>
      </c>
      <c r="K143" s="122">
        <f>ROUND(I143*J142,2)</f>
        <v>129070.52</v>
      </c>
      <c r="L143" s="138">
        <f>L140+K143</f>
        <v>639025.64</v>
      </c>
      <c r="M143" s="21"/>
      <c r="N143" s="211">
        <f>L143+G141</f>
        <v>804145.82000000007</v>
      </c>
      <c r="O143" s="37"/>
      <c r="P143" s="209"/>
      <c r="Q143" s="209">
        <f>Q141+P143</f>
        <v>1515000</v>
      </c>
      <c r="R143" s="210">
        <f t="shared" si="4"/>
        <v>710854.17999999993</v>
      </c>
    </row>
    <row r="144" spans="1:18" s="21" customFormat="1">
      <c r="A144" s="22">
        <v>45536</v>
      </c>
      <c r="B144" s="21" t="s">
        <v>109</v>
      </c>
      <c r="D144" s="25"/>
      <c r="E144" s="79"/>
      <c r="F144" s="65"/>
      <c r="G144" s="80"/>
      <c r="H144" s="3"/>
      <c r="I144" s="137">
        <f>J135</f>
        <v>126539.73</v>
      </c>
      <c r="J144" s="156">
        <f>J143+0.005</f>
        <v>1.0299999999999994</v>
      </c>
      <c r="K144" s="122">
        <f>ROUND(I144*J143,2)</f>
        <v>129703.22</v>
      </c>
      <c r="L144" s="138">
        <f t="shared" si="6"/>
        <v>768728.86</v>
      </c>
      <c r="M144"/>
      <c r="N144" s="211">
        <f>L144+G141</f>
        <v>933849.04</v>
      </c>
      <c r="O144" s="37"/>
      <c r="P144" s="65"/>
      <c r="Q144" s="209">
        <f t="shared" si="3"/>
        <v>1515000</v>
      </c>
      <c r="R144" s="210">
        <f t="shared" si="4"/>
        <v>581150.96</v>
      </c>
    </row>
    <row r="145" spans="1:18" s="21" customFormat="1">
      <c r="A145" s="22">
        <v>45566</v>
      </c>
      <c r="B145" s="21" t="s">
        <v>110</v>
      </c>
      <c r="D145" s="25"/>
      <c r="E145" s="134"/>
      <c r="G145" s="135"/>
      <c r="I145" s="137">
        <f>J135</f>
        <v>126539.73</v>
      </c>
      <c r="J145" s="156">
        <f>J144+0.005</f>
        <v>1.0349999999999993</v>
      </c>
      <c r="K145" s="122">
        <f>ROUND(I145*J144,2)</f>
        <v>130335.92</v>
      </c>
      <c r="L145" s="138">
        <f t="shared" si="6"/>
        <v>899064.78</v>
      </c>
      <c r="N145" s="211">
        <f>L145+G141</f>
        <v>1064184.96</v>
      </c>
      <c r="O145" s="37"/>
      <c r="P145" s="209"/>
      <c r="Q145" s="209">
        <f t="shared" si="3"/>
        <v>1515000</v>
      </c>
      <c r="R145" s="210">
        <f t="shared" si="4"/>
        <v>450815.04000000004</v>
      </c>
    </row>
    <row r="146" spans="1:18" s="21" customFormat="1">
      <c r="A146" s="22">
        <v>45597</v>
      </c>
      <c r="B146" s="21" t="s">
        <v>111</v>
      </c>
      <c r="D146" s="25"/>
      <c r="E146" s="134"/>
      <c r="G146" s="135"/>
      <c r="I146" s="137">
        <f>J135</f>
        <v>126539.73</v>
      </c>
      <c r="J146" s="156">
        <f>J145+0.005</f>
        <v>1.0399999999999991</v>
      </c>
      <c r="K146" s="122">
        <f>ROUND(I146*J145,2)</f>
        <v>130968.62</v>
      </c>
      <c r="L146" s="138">
        <f t="shared" si="6"/>
        <v>1030033.4</v>
      </c>
      <c r="N146" s="211">
        <f>L146+G141</f>
        <v>1195153.58</v>
      </c>
      <c r="O146" s="37"/>
      <c r="P146" s="209"/>
      <c r="Q146" s="209">
        <f t="shared" si="3"/>
        <v>1515000</v>
      </c>
      <c r="R146" s="210">
        <f t="shared" si="4"/>
        <v>319846.41999999993</v>
      </c>
    </row>
    <row r="147" spans="1:18" s="21" customFormat="1">
      <c r="A147" s="11"/>
      <c r="B147" s="24" t="s">
        <v>18</v>
      </c>
      <c r="C147" s="31"/>
      <c r="D147" s="222"/>
      <c r="E147" s="140">
        <f>ROUND(7250*0.2*1.21,2)</f>
        <v>1754.5</v>
      </c>
      <c r="G147" s="141">
        <f>G141+E147</f>
        <v>166874.68</v>
      </c>
      <c r="H147" s="37"/>
      <c r="I147" s="134"/>
      <c r="K147" s="122"/>
      <c r="L147" s="138"/>
      <c r="N147" s="211">
        <f>L146+G147</f>
        <v>1196908.08</v>
      </c>
      <c r="O147" s="37"/>
      <c r="P147" s="209"/>
      <c r="Q147" s="209">
        <f t="shared" si="3"/>
        <v>1515000</v>
      </c>
      <c r="R147" s="210">
        <f t="shared" si="4"/>
        <v>318091.91999999993</v>
      </c>
    </row>
    <row r="148" spans="1:18" s="21" customFormat="1">
      <c r="A148" s="22">
        <v>45627</v>
      </c>
      <c r="B148" s="21" t="s">
        <v>112</v>
      </c>
      <c r="D148" s="25"/>
      <c r="E148" s="134"/>
      <c r="G148" s="135"/>
      <c r="I148" s="137">
        <f>J135</f>
        <v>126539.73</v>
      </c>
      <c r="K148" s="122">
        <f>ROUND(I148*J146,2)</f>
        <v>131601.32</v>
      </c>
      <c r="L148" s="138">
        <f>L146+K148</f>
        <v>1161634.72</v>
      </c>
      <c r="N148" s="211">
        <f>L148+G147</f>
        <v>1328509.3999999999</v>
      </c>
      <c r="O148" t="s">
        <v>163</v>
      </c>
      <c r="P148" s="65">
        <v>75000</v>
      </c>
      <c r="Q148" s="209">
        <f t="shared" si="3"/>
        <v>1590000</v>
      </c>
      <c r="R148" s="210">
        <f t="shared" si="4"/>
        <v>261490.60000000009</v>
      </c>
    </row>
    <row r="149" spans="1:18" s="21" customFormat="1">
      <c r="A149" s="22" t="s">
        <v>229</v>
      </c>
      <c r="B149" s="231" t="s">
        <v>228</v>
      </c>
      <c r="D149" s="25"/>
      <c r="E149" s="134"/>
      <c r="G149" s="135"/>
      <c r="I149" s="137"/>
      <c r="J149" s="156">
        <f>J146+0.005</f>
        <v>1.044999999999999</v>
      </c>
      <c r="K149" s="122"/>
      <c r="L149" s="138"/>
      <c r="N149" s="211"/>
      <c r="O149" s="37"/>
      <c r="P149" s="209"/>
      <c r="Q149" s="209"/>
      <c r="R149" s="210"/>
    </row>
    <row r="150" spans="1:18">
      <c r="A150" s="169">
        <v>45689</v>
      </c>
      <c r="B150" s="21" t="s">
        <v>113</v>
      </c>
      <c r="C150" s="21"/>
      <c r="D150" s="25"/>
      <c r="E150" s="134"/>
      <c r="F150" s="21"/>
      <c r="G150" s="135"/>
      <c r="H150" s="21"/>
      <c r="I150" s="137">
        <f>J135</f>
        <v>126539.73</v>
      </c>
      <c r="J150" s="156">
        <f>J149+0.005</f>
        <v>1.0499999999999989</v>
      </c>
      <c r="K150" s="122">
        <f>ROUND(I150*J149,2)</f>
        <v>132234.01999999999</v>
      </c>
      <c r="L150" s="138">
        <f>L148+K150</f>
        <v>1293868.74</v>
      </c>
      <c r="M150" s="21"/>
      <c r="N150" s="211">
        <f>L150+G147</f>
        <v>1460743.42</v>
      </c>
      <c r="O150" s="212" t="s">
        <v>164</v>
      </c>
      <c r="P150" s="65">
        <v>205000</v>
      </c>
      <c r="Q150" s="209">
        <f>Q148+P150</f>
        <v>1795000</v>
      </c>
      <c r="R150" s="210">
        <f t="shared" si="4"/>
        <v>334256.58000000007</v>
      </c>
    </row>
    <row r="151" spans="1:18" s="74" customFormat="1" ht="15.75">
      <c r="A151" s="169">
        <v>45717</v>
      </c>
      <c r="B151" s="21" t="s">
        <v>114</v>
      </c>
      <c r="C151" s="21"/>
      <c r="D151" s="25"/>
      <c r="E151" s="79"/>
      <c r="F151" s="65"/>
      <c r="G151" s="80"/>
      <c r="H151" s="3"/>
      <c r="I151" s="137">
        <f>J135</f>
        <v>126539.73</v>
      </c>
      <c r="J151" s="156">
        <f>J150+0.005</f>
        <v>1.0549999999999988</v>
      </c>
      <c r="K151" s="122">
        <f>ROUND(I151*J150,2)</f>
        <v>132866.72</v>
      </c>
      <c r="L151" s="138">
        <f t="shared" si="6"/>
        <v>1426735.46</v>
      </c>
      <c r="M151"/>
      <c r="N151" s="211">
        <f>L151+G147</f>
        <v>1593610.14</v>
      </c>
      <c r="O151" s="225">
        <f>A150</f>
        <v>45689</v>
      </c>
      <c r="P151" s="213"/>
      <c r="Q151" s="209">
        <f>Q150+P151</f>
        <v>1795000</v>
      </c>
      <c r="R151" s="210">
        <f t="shared" si="4"/>
        <v>201389.8600000001</v>
      </c>
    </row>
    <row r="152" spans="1:18" s="21" customFormat="1" ht="15.75">
      <c r="A152" s="169">
        <v>45748</v>
      </c>
      <c r="B152" s="21" t="s">
        <v>115</v>
      </c>
      <c r="D152" s="25"/>
      <c r="E152" s="142"/>
      <c r="F152" s="74"/>
      <c r="G152" s="143"/>
      <c r="H152" s="74"/>
      <c r="I152" s="137">
        <f>J135</f>
        <v>126539.73</v>
      </c>
      <c r="J152" s="156">
        <f>J151+0.005</f>
        <v>1.0599999999999987</v>
      </c>
      <c r="K152" s="122">
        <f>ROUND(I152*J151,2)</f>
        <v>133499.42000000001</v>
      </c>
      <c r="L152" s="138">
        <f t="shared" si="6"/>
        <v>1560234.88</v>
      </c>
      <c r="M152" s="74"/>
      <c r="N152" s="211">
        <f>L152+G147</f>
        <v>1727109.5599999998</v>
      </c>
      <c r="O152" s="212" t="s">
        <v>165</v>
      </c>
      <c r="P152" s="65">
        <v>205000</v>
      </c>
      <c r="Q152" s="209">
        <f t="shared" ref="Q152:Q154" si="8">Q151+P152</f>
        <v>2000000</v>
      </c>
      <c r="R152" s="210">
        <f t="shared" si="4"/>
        <v>272890.44000000018</v>
      </c>
    </row>
    <row r="153" spans="1:18">
      <c r="A153" s="11"/>
      <c r="B153" s="23" t="s">
        <v>15</v>
      </c>
      <c r="C153" s="23"/>
      <c r="D153" s="21" t="s">
        <v>215</v>
      </c>
      <c r="E153" s="144">
        <f>ROUND(E92*0.8,2)-E132-E131-E129-E127-E126</f>
        <v>62370.999999999985</v>
      </c>
      <c r="F153" s="21"/>
      <c r="G153" s="141">
        <f>G147+E153</f>
        <v>229245.68</v>
      </c>
      <c r="H153" s="37"/>
      <c r="I153" s="134"/>
      <c r="J153" s="21"/>
      <c r="K153" s="122"/>
      <c r="L153" s="138"/>
      <c r="M153" s="21"/>
      <c r="N153" s="211">
        <f>L152+G153</f>
        <v>1789480.5599999998</v>
      </c>
      <c r="O153" s="225">
        <f>A152</f>
        <v>45748</v>
      </c>
      <c r="P153" s="65"/>
      <c r="Q153" s="209">
        <f t="shared" si="8"/>
        <v>2000000</v>
      </c>
      <c r="R153" s="210">
        <f t="shared" si="4"/>
        <v>210519.44000000018</v>
      </c>
    </row>
    <row r="154" spans="1:18" s="21" customFormat="1">
      <c r="A154" s="11"/>
      <c r="B154" s="31" t="s">
        <v>18</v>
      </c>
      <c r="C154" s="31"/>
      <c r="D154" s="31"/>
      <c r="E154" s="140">
        <f>ROUND(7250*0.2*1.21,2)</f>
        <v>1754.5</v>
      </c>
      <c r="F154" s="65"/>
      <c r="G154" s="141">
        <f>G153+E154</f>
        <v>231000.18</v>
      </c>
      <c r="H154" s="37"/>
      <c r="I154" s="134"/>
      <c r="K154" s="122"/>
      <c r="L154" s="138"/>
      <c r="M154"/>
      <c r="N154" s="211">
        <f>L152+G154</f>
        <v>1791235.0599999998</v>
      </c>
      <c r="O154"/>
      <c r="P154"/>
      <c r="Q154" s="209">
        <f t="shared" si="8"/>
        <v>2000000</v>
      </c>
      <c r="R154" s="210">
        <f t="shared" si="4"/>
        <v>208764.94000000018</v>
      </c>
    </row>
    <row r="155" spans="1:18" ht="15.75" customHeight="1">
      <c r="A155" s="11"/>
      <c r="B155" s="127" t="s">
        <v>120</v>
      </c>
      <c r="C155" s="128"/>
      <c r="D155" s="129"/>
      <c r="E155" s="145"/>
      <c r="F155" s="129">
        <v>30000</v>
      </c>
      <c r="G155" s="146">
        <f>G154+F155</f>
        <v>261000.18</v>
      </c>
      <c r="H155" s="20"/>
      <c r="I155" s="81"/>
      <c r="J155" s="21"/>
      <c r="K155" s="21"/>
      <c r="L155" s="138"/>
      <c r="M155" s="21"/>
      <c r="N155" s="134"/>
      <c r="O155" s="21"/>
      <c r="P155" s="21"/>
      <c r="Q155" s="209"/>
      <c r="R155" s="210"/>
    </row>
    <row r="156" spans="1:18" ht="15.75" customHeight="1">
      <c r="A156" s="22">
        <v>45778</v>
      </c>
      <c r="B156" s="21" t="s">
        <v>156</v>
      </c>
      <c r="C156" s="21"/>
      <c r="E156" s="79"/>
      <c r="F156" s="65"/>
      <c r="G156" s="80"/>
      <c r="H156" s="126" t="s">
        <v>132</v>
      </c>
      <c r="I156" s="232">
        <f>SUM(I137:I154)</f>
        <v>1518476.76</v>
      </c>
      <c r="J156" s="233">
        <f>J152+0.005</f>
        <v>1.0649999999999986</v>
      </c>
      <c r="K156" s="119"/>
      <c r="L156" s="121">
        <f>L152</f>
        <v>1560234.88</v>
      </c>
      <c r="M156" s="21"/>
      <c r="N156" s="211">
        <f>L152+G155</f>
        <v>1821235.0599999998</v>
      </c>
      <c r="Q156" s="209">
        <f>Q154+P156</f>
        <v>2000000</v>
      </c>
      <c r="R156" s="210">
        <f t="shared" ref="R156" si="9">Q156-N156</f>
        <v>178764.94000000018</v>
      </c>
    </row>
    <row r="157" spans="1:18" s="21" customFormat="1">
      <c r="A157" s="22"/>
      <c r="D157" s="25"/>
      <c r="E157" s="79"/>
      <c r="F157" s="65"/>
      <c r="G157" s="80"/>
      <c r="H157" s="3"/>
      <c r="I157" s="158"/>
      <c r="J157" s="65"/>
      <c r="K157" s="156"/>
      <c r="L157" s="146"/>
      <c r="M157" s="20"/>
      <c r="N157" s="81"/>
      <c r="O157"/>
      <c r="P157" s="65"/>
      <c r="Q157" s="209"/>
      <c r="R157" s="210"/>
    </row>
    <row r="158" spans="1:18">
      <c r="D158" s="26"/>
      <c r="E158" s="134"/>
      <c r="F158" s="21"/>
      <c r="G158" s="135"/>
      <c r="H158" s="21"/>
      <c r="I158" s="109" t="s">
        <v>116</v>
      </c>
      <c r="J158" s="110" t="s">
        <v>142</v>
      </c>
      <c r="K158" s="21"/>
      <c r="L158" s="135"/>
      <c r="M158" s="3"/>
      <c r="N158" s="134"/>
      <c r="O158" s="21"/>
      <c r="P158" s="209"/>
      <c r="Q158" s="209"/>
      <c r="R158" s="210"/>
    </row>
    <row r="159" spans="1:18" ht="15.75" customHeight="1">
      <c r="A159" s="18" t="s">
        <v>230</v>
      </c>
      <c r="B159" s="19"/>
      <c r="C159" s="19"/>
      <c r="D159" s="132"/>
      <c r="E159" s="79"/>
      <c r="F159" s="65"/>
      <c r="G159" s="80"/>
      <c r="I159" s="111">
        <f>H107</f>
        <v>683009.09</v>
      </c>
      <c r="J159" s="112">
        <f>ROUND(I159/4,2)</f>
        <v>170752.27</v>
      </c>
      <c r="K159" s="65"/>
      <c r="L159" s="80"/>
      <c r="M159" s="3"/>
      <c r="N159" s="81"/>
      <c r="P159" s="65"/>
      <c r="Q159" s="209"/>
      <c r="R159" s="210"/>
    </row>
    <row r="160" spans="1:18">
      <c r="A160" s="22"/>
      <c r="B160" s="21"/>
      <c r="C160" s="21"/>
      <c r="D160" s="25"/>
      <c r="E160" s="79"/>
      <c r="F160" s="65"/>
      <c r="G160" s="80"/>
      <c r="I160" s="79"/>
      <c r="J160" s="156"/>
      <c r="K160" s="122"/>
      <c r="L160" s="146"/>
      <c r="M160" s="20"/>
      <c r="N160" s="81"/>
      <c r="P160" s="65"/>
      <c r="Q160" s="209"/>
      <c r="R160" s="210"/>
    </row>
    <row r="161" spans="1:18">
      <c r="A161" s="11">
        <v>45809</v>
      </c>
      <c r="B161" s="21" t="s">
        <v>117</v>
      </c>
      <c r="C161" s="21"/>
      <c r="D161" s="25"/>
      <c r="E161" s="79"/>
      <c r="F161" s="65"/>
      <c r="G161" s="80"/>
      <c r="I161" s="137">
        <f>J159</f>
        <v>170752.27</v>
      </c>
      <c r="J161" s="156">
        <f>J156+0.01</f>
        <v>1.0749999999999986</v>
      </c>
      <c r="K161" s="122">
        <f>ROUND(I161*J161,2)</f>
        <v>183558.69</v>
      </c>
      <c r="L161" s="138">
        <f>L152+K161</f>
        <v>1743793.5699999998</v>
      </c>
      <c r="M161" s="20"/>
      <c r="N161" s="214">
        <f>L161+G155</f>
        <v>2004793.7499999998</v>
      </c>
      <c r="O161" s="215" t="s">
        <v>166</v>
      </c>
      <c r="P161" s="65">
        <v>205000</v>
      </c>
      <c r="Q161" s="209">
        <f>+Q154+P161</f>
        <v>2205000</v>
      </c>
      <c r="R161" s="210">
        <f t="shared" si="4"/>
        <v>200206.25000000023</v>
      </c>
    </row>
    <row r="162" spans="1:18">
      <c r="B162" s="31" t="s">
        <v>18</v>
      </c>
      <c r="C162" s="31"/>
      <c r="D162" s="31"/>
      <c r="E162" s="140">
        <f>ROUND(7250*0.2*1.21,2)</f>
        <v>1754.5</v>
      </c>
      <c r="F162" s="65"/>
      <c r="G162" s="146">
        <f>G155+E162</f>
        <v>262754.68</v>
      </c>
      <c r="H162" s="20"/>
      <c r="I162" s="134"/>
      <c r="J162" s="21"/>
      <c r="K162" s="122"/>
      <c r="L162" s="138"/>
      <c r="M162" s="17"/>
      <c r="N162" s="214">
        <f>L161+G162</f>
        <v>2006548.2499999998</v>
      </c>
      <c r="O162" s="225">
        <f>A161</f>
        <v>45809</v>
      </c>
      <c r="Q162" s="209">
        <f>Q161+P162</f>
        <v>2205000</v>
      </c>
      <c r="R162" s="210">
        <f t="shared" si="4"/>
        <v>198451.75000000023</v>
      </c>
    </row>
    <row r="163" spans="1:18">
      <c r="A163" s="11">
        <v>45839</v>
      </c>
      <c r="B163" s="231" t="s">
        <v>228</v>
      </c>
      <c r="E163" s="137"/>
      <c r="F163" s="118"/>
      <c r="G163" s="146"/>
      <c r="H163" s="20"/>
      <c r="I163" s="134"/>
      <c r="J163" s="156">
        <f>J161+0.005</f>
        <v>1.0799999999999985</v>
      </c>
      <c r="K163" s="122"/>
      <c r="L163" s="138"/>
      <c r="M163" s="17"/>
      <c r="N163" s="214"/>
      <c r="O163" s="215" t="s">
        <v>168</v>
      </c>
      <c r="P163" s="65">
        <v>205000</v>
      </c>
      <c r="Q163" s="209">
        <f>Q162+P163</f>
        <v>2410000</v>
      </c>
      <c r="R163" s="210"/>
    </row>
    <row r="164" spans="1:18" s="21" customFormat="1">
      <c r="A164" s="22">
        <v>45870</v>
      </c>
      <c r="B164" s="21" t="s">
        <v>123</v>
      </c>
      <c r="D164" s="25"/>
      <c r="E164" s="79"/>
      <c r="F164" s="65"/>
      <c r="G164" s="80"/>
      <c r="H164" s="3"/>
      <c r="I164" s="137">
        <f>J159</f>
        <v>170752.27</v>
      </c>
      <c r="J164" s="156">
        <f>J163+0.005</f>
        <v>1.0849999999999984</v>
      </c>
      <c r="K164" s="122">
        <f>ROUND(I164*J163,2)</f>
        <v>184412.45</v>
      </c>
      <c r="L164" s="138">
        <f>L161+K164</f>
        <v>1928206.0199999998</v>
      </c>
      <c r="M164" s="20"/>
      <c r="N164" s="214">
        <f>L164+G162</f>
        <v>2190960.6999999997</v>
      </c>
      <c r="O164" s="225">
        <f>A165</f>
        <v>45901</v>
      </c>
      <c r="P164" s="209"/>
      <c r="Q164" s="209">
        <f t="shared" ref="Q164:Q166" si="10">Q163+P164</f>
        <v>2410000</v>
      </c>
      <c r="R164" s="210">
        <f t="shared" si="4"/>
        <v>219039.30000000028</v>
      </c>
    </row>
    <row r="165" spans="1:18" s="21" customFormat="1">
      <c r="A165" s="22">
        <v>45901</v>
      </c>
      <c r="B165" s="21" t="s">
        <v>124</v>
      </c>
      <c r="D165" s="25"/>
      <c r="E165" s="134"/>
      <c r="G165" s="135"/>
      <c r="I165" s="137">
        <f>J159</f>
        <v>170752.27</v>
      </c>
      <c r="J165" s="156">
        <f>J164+0.005</f>
        <v>1.0899999999999983</v>
      </c>
      <c r="K165" s="122">
        <f>ROUND(I165*J164,2)</f>
        <v>185266.21</v>
      </c>
      <c r="L165" s="138">
        <f>L164+K165</f>
        <v>2113472.23</v>
      </c>
      <c r="N165" s="214">
        <f>L165+G162</f>
        <v>2376226.91</v>
      </c>
      <c r="O165" s="26" t="s">
        <v>167</v>
      </c>
      <c r="P165" s="209">
        <v>540000</v>
      </c>
      <c r="Q165" s="209">
        <f t="shared" si="10"/>
        <v>2950000</v>
      </c>
      <c r="R165" s="210">
        <f t="shared" si="4"/>
        <v>573773.08999999985</v>
      </c>
    </row>
    <row r="166" spans="1:18" s="21" customFormat="1">
      <c r="A166" s="11">
        <v>45931</v>
      </c>
      <c r="B166" s="21" t="s">
        <v>125</v>
      </c>
      <c r="D166" s="25"/>
      <c r="E166" s="134"/>
      <c r="G166" s="135"/>
      <c r="I166" s="137">
        <f>J159</f>
        <v>170752.27</v>
      </c>
      <c r="J166" s="156">
        <f>J165+0.005</f>
        <v>1.0949999999999982</v>
      </c>
      <c r="K166" s="122">
        <f>ROUND(I166*J165,2)</f>
        <v>186119.97</v>
      </c>
      <c r="L166" s="138">
        <f t="shared" ref="L166" si="11">L165+K166</f>
        <v>2299592.2000000002</v>
      </c>
      <c r="N166" s="214">
        <f>L166+G162</f>
        <v>2562346.8800000004</v>
      </c>
      <c r="O166" s="225">
        <f>A165</f>
        <v>45901</v>
      </c>
      <c r="P166" s="65"/>
      <c r="Q166" s="209">
        <f t="shared" si="10"/>
        <v>2950000</v>
      </c>
      <c r="R166" s="210">
        <f t="shared" si="4"/>
        <v>387653.11999999965</v>
      </c>
    </row>
    <row r="167" spans="1:18" ht="15.75" customHeight="1">
      <c r="A167" s="21"/>
      <c r="B167" s="127" t="s">
        <v>122</v>
      </c>
      <c r="C167" s="127"/>
      <c r="D167" s="129"/>
      <c r="E167" s="145"/>
      <c r="F167" s="129">
        <v>20000</v>
      </c>
      <c r="G167" s="141">
        <f>G162+F167</f>
        <v>282754.68</v>
      </c>
      <c r="H167" s="37"/>
      <c r="I167" s="81"/>
      <c r="J167" s="21"/>
      <c r="K167" s="21"/>
      <c r="L167" s="138"/>
      <c r="M167" s="3"/>
      <c r="N167" s="211"/>
      <c r="O167" s="37"/>
      <c r="P167" s="209"/>
      <c r="Q167" s="209"/>
      <c r="R167" s="210"/>
    </row>
    <row r="168" spans="1:18">
      <c r="A168" s="22">
        <v>45962</v>
      </c>
      <c r="B168" s="21" t="s">
        <v>232</v>
      </c>
      <c r="C168" s="21"/>
      <c r="E168" s="79"/>
      <c r="F168" s="65"/>
      <c r="G168" s="80"/>
      <c r="H168" s="126" t="s">
        <v>132</v>
      </c>
      <c r="I168" s="232">
        <f>I156+SUM(I161:I166)</f>
        <v>2201485.84</v>
      </c>
      <c r="J168" s="233">
        <f>J166+0.005</f>
        <v>1.0999999999999981</v>
      </c>
      <c r="K168" s="119"/>
      <c r="L168" s="121">
        <f>L166</f>
        <v>2299592.2000000002</v>
      </c>
      <c r="M168" s="21"/>
      <c r="N168" s="211">
        <f>L166+G167</f>
        <v>2582346.8800000004</v>
      </c>
      <c r="Q168" s="209">
        <f>Q166+P168</f>
        <v>2950000</v>
      </c>
      <c r="R168" s="210">
        <f t="shared" ref="R168" si="12">Q168-N168</f>
        <v>367653.11999999965</v>
      </c>
    </row>
    <row r="169" spans="1:18" s="21" customFormat="1">
      <c r="A169" s="22"/>
      <c r="D169" s="25"/>
      <c r="E169" s="79"/>
      <c r="F169" s="65"/>
      <c r="G169" s="80"/>
      <c r="H169" s="3"/>
      <c r="I169" s="137"/>
      <c r="J169" s="156"/>
      <c r="K169" s="122"/>
      <c r="L169" s="146"/>
      <c r="M169" s="3"/>
      <c r="N169" s="81"/>
      <c r="O169"/>
      <c r="P169" s="65"/>
      <c r="Q169" s="209"/>
      <c r="R169" s="210"/>
    </row>
    <row r="170" spans="1:18">
      <c r="D170" s="26"/>
      <c r="E170" s="134"/>
      <c r="F170" s="21"/>
      <c r="G170" s="135"/>
      <c r="H170" s="21"/>
      <c r="I170" s="109" t="s">
        <v>126</v>
      </c>
      <c r="J170" s="110" t="s">
        <v>102</v>
      </c>
      <c r="K170" s="21"/>
      <c r="L170" s="135"/>
      <c r="M170" s="3"/>
      <c r="N170" s="134"/>
      <c r="O170" s="21"/>
      <c r="P170" s="209"/>
      <c r="Q170" s="209"/>
      <c r="R170" s="210"/>
    </row>
    <row r="171" spans="1:18" ht="15.75" customHeight="1">
      <c r="A171" s="18" t="s">
        <v>119</v>
      </c>
      <c r="B171" s="19"/>
      <c r="C171" s="19"/>
      <c r="D171" s="132"/>
      <c r="E171" s="79"/>
      <c r="F171" s="65"/>
      <c r="G171" s="80"/>
      <c r="I171" s="159">
        <f>H110</f>
        <v>226916.44</v>
      </c>
      <c r="J171" s="124">
        <f>ROUND(I171/3,2)</f>
        <v>75638.81</v>
      </c>
      <c r="K171" s="118"/>
      <c r="L171" s="80"/>
      <c r="M171" s="3"/>
      <c r="N171" s="81"/>
      <c r="P171" s="65"/>
      <c r="Q171" s="209"/>
      <c r="R171" s="210"/>
    </row>
    <row r="172" spans="1:18">
      <c r="A172" s="22"/>
      <c r="B172" s="21"/>
      <c r="C172" s="21"/>
      <c r="D172" s="25"/>
      <c r="E172" s="79"/>
      <c r="F172" s="65"/>
      <c r="G172" s="80"/>
      <c r="I172" s="137"/>
      <c r="J172" s="156"/>
      <c r="K172" s="122"/>
      <c r="L172" s="146"/>
      <c r="M172" s="3"/>
      <c r="N172" s="81"/>
      <c r="Q172" s="209"/>
      <c r="R172" s="210"/>
    </row>
    <row r="173" spans="1:18">
      <c r="A173" s="22" t="s">
        <v>229</v>
      </c>
      <c r="B173" s="231" t="s">
        <v>228</v>
      </c>
      <c r="C173" s="21"/>
      <c r="D173" s="25"/>
      <c r="E173" s="79"/>
      <c r="F173" s="65"/>
      <c r="G173" s="80"/>
      <c r="I173" s="137"/>
      <c r="J173" s="156">
        <f>J168+0.005</f>
        <v>1.104999999999998</v>
      </c>
      <c r="K173" s="122"/>
      <c r="L173" s="138"/>
      <c r="M173" s="3"/>
      <c r="N173" s="214"/>
      <c r="O173" s="225"/>
      <c r="P173" s="65"/>
      <c r="Q173" s="209"/>
      <c r="R173" s="210"/>
    </row>
    <row r="174" spans="1:18">
      <c r="A174" s="22">
        <v>45658</v>
      </c>
      <c r="B174" s="21" t="s">
        <v>127</v>
      </c>
      <c r="C174" s="21"/>
      <c r="D174" s="25"/>
      <c r="E174" s="79"/>
      <c r="F174" s="65"/>
      <c r="G174" s="80"/>
      <c r="I174" s="137">
        <f>J171</f>
        <v>75638.81</v>
      </c>
      <c r="J174" s="156">
        <f>J173+0.005</f>
        <v>1.1099999999999979</v>
      </c>
      <c r="K174" s="122">
        <f>ROUND(I174*J173,2)</f>
        <v>83580.89</v>
      </c>
      <c r="L174" s="138">
        <f>L166+K174</f>
        <v>2383173.0900000003</v>
      </c>
      <c r="M174" s="3"/>
      <c r="N174" s="214">
        <f>L174+G167</f>
        <v>2665927.7700000005</v>
      </c>
      <c r="P174" s="65"/>
      <c r="Q174" s="209">
        <f>Q166</f>
        <v>2950000</v>
      </c>
      <c r="R174" s="210">
        <f t="shared" si="4"/>
        <v>284072.22999999952</v>
      </c>
    </row>
    <row r="175" spans="1:18" s="21" customFormat="1">
      <c r="A175" s="22">
        <v>45689</v>
      </c>
      <c r="B175" s="21" t="s">
        <v>128</v>
      </c>
      <c r="D175" s="25"/>
      <c r="E175" s="79"/>
      <c r="F175" s="65"/>
      <c r="G175" s="80"/>
      <c r="H175" s="3"/>
      <c r="I175" s="137">
        <f>J171</f>
        <v>75638.81</v>
      </c>
      <c r="J175" s="156">
        <f>J174+0.005</f>
        <v>1.1149999999999978</v>
      </c>
      <c r="K175" s="122">
        <f>ROUND(I175*J174,2)</f>
        <v>83959.08</v>
      </c>
      <c r="L175" s="138">
        <f>L174+K175</f>
        <v>2467132.1700000004</v>
      </c>
      <c r="M175" s="3"/>
      <c r="N175" s="214">
        <f>L175+G167</f>
        <v>2749886.8500000006</v>
      </c>
      <c r="O175"/>
      <c r="P175"/>
      <c r="Q175" s="209">
        <f t="shared" ref="Q175:Q176" si="13">Q174+P175</f>
        <v>2950000</v>
      </c>
      <c r="R175" s="210">
        <f t="shared" si="4"/>
        <v>200113.14999999944</v>
      </c>
    </row>
    <row r="176" spans="1:18" s="21" customFormat="1">
      <c r="A176" s="22">
        <v>46082</v>
      </c>
      <c r="B176" s="21" t="s">
        <v>129</v>
      </c>
      <c r="D176" s="25"/>
      <c r="E176" s="134"/>
      <c r="G176" s="135"/>
      <c r="I176" s="137">
        <f>J171</f>
        <v>75638.81</v>
      </c>
      <c r="J176" s="156">
        <f>J175+0.005</f>
        <v>1.1199999999999977</v>
      </c>
      <c r="K176" s="122">
        <f>ROUND(I176*J175,2)</f>
        <v>84337.27</v>
      </c>
      <c r="L176" s="138">
        <f t="shared" ref="L176" si="14">L175+K176</f>
        <v>2551469.4400000004</v>
      </c>
      <c r="M176" s="3"/>
      <c r="N176" s="214">
        <f>L176+G167</f>
        <v>2834224.1200000006</v>
      </c>
      <c r="Q176" s="209">
        <f t="shared" si="13"/>
        <v>2950000</v>
      </c>
      <c r="R176" s="210">
        <f t="shared" si="4"/>
        <v>115775.87999999942</v>
      </c>
    </row>
    <row r="177" spans="1:18" ht="15.75" customHeight="1">
      <c r="A177" s="11"/>
      <c r="B177" s="24" t="s">
        <v>18</v>
      </c>
      <c r="C177" s="31"/>
      <c r="D177" s="222"/>
      <c r="E177" s="140">
        <f>ROUND(7250*0.2*1.21,2)</f>
        <v>1754.5</v>
      </c>
      <c r="F177" s="21"/>
      <c r="G177" s="146">
        <f>G167+E177</f>
        <v>284509.18</v>
      </c>
      <c r="H177" s="20"/>
      <c r="I177" s="134"/>
      <c r="J177" s="21"/>
      <c r="K177" s="122"/>
      <c r="L177" s="138"/>
      <c r="M177" s="3"/>
      <c r="N177" s="211">
        <f>L176+G177</f>
        <v>2835978.6200000006</v>
      </c>
      <c r="Q177" s="209">
        <f>Q175+P177</f>
        <v>2950000</v>
      </c>
      <c r="R177" s="210">
        <f t="shared" si="4"/>
        <v>114021.37999999942</v>
      </c>
    </row>
    <row r="178" spans="1:18" s="21" customFormat="1">
      <c r="A178" s="22"/>
      <c r="D178"/>
      <c r="E178" s="79"/>
      <c r="F178" s="65"/>
      <c r="G178" s="80"/>
      <c r="H178" s="126" t="s">
        <v>132</v>
      </c>
      <c r="I178" s="123">
        <f>SUM(I174:I176)+I168</f>
        <v>2428402.27</v>
      </c>
      <c r="J178" s="125"/>
      <c r="K178" s="125"/>
      <c r="L178" s="120">
        <f>L176</f>
        <v>2551469.4400000004</v>
      </c>
      <c r="M178" s="3"/>
      <c r="N178" s="81"/>
      <c r="O178"/>
      <c r="P178"/>
      <c r="Q178" s="209"/>
      <c r="R178" s="210"/>
    </row>
    <row r="179" spans="1:18" s="21" customFormat="1" ht="15.75">
      <c r="A179" s="70" t="s">
        <v>26</v>
      </c>
      <c r="B179" s="34"/>
      <c r="C179" s="35"/>
      <c r="E179" s="134"/>
      <c r="G179" s="135"/>
      <c r="I179" s="134"/>
      <c r="L179" s="135"/>
      <c r="N179" s="134"/>
      <c r="P179" s="209"/>
      <c r="Q179" s="209"/>
      <c r="R179" s="210"/>
    </row>
    <row r="180" spans="1:18" s="21" customFormat="1">
      <c r="A180" s="22"/>
      <c r="E180" s="134"/>
      <c r="G180" s="135"/>
      <c r="I180" s="134"/>
      <c r="L180" s="135"/>
      <c r="N180" s="134"/>
      <c r="P180" s="209"/>
      <c r="Q180" s="209"/>
      <c r="R180" s="210"/>
    </row>
    <row r="181" spans="1:18" s="21" customFormat="1">
      <c r="A181" s="22"/>
      <c r="B181" s="38" t="s">
        <v>27</v>
      </c>
      <c r="E181" s="134"/>
      <c r="G181" s="135"/>
      <c r="I181" s="134"/>
      <c r="L181" s="135"/>
      <c r="N181" s="134"/>
      <c r="P181" s="209"/>
      <c r="Q181" s="209"/>
      <c r="R181" s="210"/>
    </row>
    <row r="182" spans="1:18" s="21" customFormat="1">
      <c r="A182" s="11"/>
      <c r="B182" s="23" t="s">
        <v>16</v>
      </c>
      <c r="C182" s="23"/>
      <c r="D182" s="29" t="s">
        <v>216</v>
      </c>
      <c r="E182" s="144">
        <f>ROUND(E92*0.95,2)-E153-E132-E131-E129-E127-E126</f>
        <v>37422.590000000011</v>
      </c>
      <c r="G182" s="141">
        <f>G177+E182</f>
        <v>321931.77</v>
      </c>
      <c r="I182" s="134"/>
      <c r="L182" s="135"/>
      <c r="N182" s="211">
        <f>L176+G182</f>
        <v>2873401.2100000004</v>
      </c>
      <c r="Q182" s="209">
        <f>Q176</f>
        <v>2950000</v>
      </c>
      <c r="R182" s="210">
        <f t="shared" si="4"/>
        <v>76598.789999999572</v>
      </c>
    </row>
    <row r="183" spans="1:18">
      <c r="A183" s="11"/>
      <c r="B183" s="23" t="s">
        <v>66</v>
      </c>
      <c r="C183" s="23"/>
      <c r="D183" s="29"/>
      <c r="E183" s="144">
        <f>E96</f>
        <v>12643.41</v>
      </c>
      <c r="F183" s="21"/>
      <c r="G183" s="141">
        <f>G182+E183</f>
        <v>334575.18</v>
      </c>
      <c r="H183" s="21"/>
      <c r="I183" s="134"/>
      <c r="J183" s="21"/>
      <c r="K183" s="21"/>
      <c r="L183" s="135"/>
      <c r="M183" s="21"/>
      <c r="N183" s="211">
        <f>L176+G183</f>
        <v>2886044.6200000006</v>
      </c>
      <c r="O183" s="37"/>
      <c r="P183" s="209"/>
      <c r="Q183" s="209">
        <f>Q182+P183</f>
        <v>2950000</v>
      </c>
      <c r="R183" s="210">
        <f t="shared" si="4"/>
        <v>63955.379999999423</v>
      </c>
    </row>
    <row r="184" spans="1:18" s="21" customFormat="1">
      <c r="A184" s="11"/>
      <c r="B184" s="24" t="s">
        <v>19</v>
      </c>
      <c r="C184" s="31"/>
      <c r="D184" s="32"/>
      <c r="E184" s="140">
        <f>ROUND(650*1.21,2)</f>
        <v>786.5</v>
      </c>
      <c r="G184" s="141">
        <f>G183+E184</f>
        <v>335361.68</v>
      </c>
      <c r="H184" s="3"/>
      <c r="I184" s="134"/>
      <c r="L184" s="135"/>
      <c r="N184" s="211">
        <f>L176+G184</f>
        <v>2886831.1200000006</v>
      </c>
      <c r="O184" s="37"/>
      <c r="P184" s="65"/>
      <c r="Q184" s="209">
        <f>Q183+P184</f>
        <v>2950000</v>
      </c>
      <c r="R184" s="210">
        <f t="shared" si="4"/>
        <v>63168.879999999423</v>
      </c>
    </row>
    <row r="185" spans="1:18">
      <c r="A185" s="11"/>
      <c r="B185" s="127" t="s">
        <v>143</v>
      </c>
      <c r="C185" s="127"/>
      <c r="D185" s="131"/>
      <c r="E185" s="145"/>
      <c r="F185" s="224">
        <v>25000</v>
      </c>
      <c r="G185" s="138">
        <f>G184+F185</f>
        <v>360361.68</v>
      </c>
      <c r="H185" s="21"/>
      <c r="I185" s="134"/>
      <c r="J185" s="21"/>
      <c r="K185" s="21"/>
      <c r="L185" s="135"/>
      <c r="M185" s="21"/>
      <c r="N185" s="211">
        <f>L176+G185</f>
        <v>2911831.1200000006</v>
      </c>
      <c r="O185" s="37"/>
      <c r="P185" s="209"/>
      <c r="Q185" s="209">
        <f>Q184+P185</f>
        <v>2950000</v>
      </c>
      <c r="R185" s="141">
        <f>Q185-N185</f>
        <v>38168.879999999423</v>
      </c>
    </row>
    <row r="186" spans="1:18">
      <c r="A186" s="22"/>
      <c r="B186" s="21"/>
      <c r="C186" s="21"/>
      <c r="D186" s="21"/>
      <c r="E186" s="79"/>
      <c r="F186" s="65"/>
      <c r="G186" s="80"/>
      <c r="I186" s="134"/>
      <c r="J186" s="21"/>
      <c r="K186" s="21"/>
      <c r="L186" s="135"/>
      <c r="M186" s="21"/>
      <c r="N186" s="81"/>
      <c r="P186" s="65"/>
      <c r="Q186" s="65"/>
      <c r="R186" s="216"/>
    </row>
    <row r="187" spans="1:18" s="21" customFormat="1" ht="15.75">
      <c r="A187" s="70" t="s">
        <v>65</v>
      </c>
      <c r="B187" s="34"/>
      <c r="C187" s="35"/>
      <c r="E187" s="79"/>
      <c r="F187" s="65"/>
      <c r="G187" s="80"/>
      <c r="H187" s="3"/>
      <c r="I187" s="134"/>
      <c r="L187" s="135"/>
      <c r="N187" s="81"/>
      <c r="O187"/>
      <c r="P187" s="65"/>
      <c r="Q187" s="65"/>
      <c r="R187" s="216"/>
    </row>
    <row r="188" spans="1:18" s="21" customFormat="1">
      <c r="A188" s="11">
        <v>46508</v>
      </c>
      <c r="B188" s="23" t="s">
        <v>68</v>
      </c>
      <c r="C188" s="23"/>
      <c r="D188" s="29" t="s">
        <v>217</v>
      </c>
      <c r="E188" s="144">
        <f>E92-E182-E153-E132-E131-E129-E127-E126</f>
        <v>12474.200000000012</v>
      </c>
      <c r="F188" s="37"/>
      <c r="G188" s="138">
        <f>G185+E188</f>
        <v>372835.88</v>
      </c>
      <c r="I188" s="134"/>
      <c r="L188" s="135"/>
      <c r="N188" s="170">
        <f>N185+E188</f>
        <v>2924305.3200000008</v>
      </c>
      <c r="O188" s="217"/>
      <c r="P188" s="209"/>
      <c r="Q188" s="209">
        <f>Q185+P188</f>
        <v>2950000</v>
      </c>
      <c r="R188" s="210">
        <f t="shared" ref="R188" si="15">Q188-N188</f>
        <v>25694.679999999236</v>
      </c>
    </row>
    <row r="189" spans="1:18">
      <c r="A189" s="22"/>
      <c r="B189" s="21"/>
      <c r="C189" s="21"/>
      <c r="D189" s="21"/>
      <c r="E189" s="147"/>
      <c r="F189" s="148"/>
      <c r="G189" s="149"/>
      <c r="H189" s="21"/>
      <c r="I189" s="147"/>
      <c r="J189" s="160"/>
      <c r="K189" s="161"/>
      <c r="L189" s="162"/>
      <c r="M189" s="20"/>
      <c r="N189" s="134"/>
      <c r="O189" s="37" t="s">
        <v>169</v>
      </c>
      <c r="P189" s="209">
        <v>540000</v>
      </c>
      <c r="Q189" s="209">
        <f>Q188+P189</f>
        <v>3490000</v>
      </c>
      <c r="R189" s="141">
        <f>Q189-N188</f>
        <v>565694.67999999924</v>
      </c>
    </row>
    <row r="190" spans="1:18" ht="15.75">
      <c r="A190" s="71"/>
      <c r="B190" s="72"/>
      <c r="C190" s="72"/>
      <c r="D190" s="21"/>
      <c r="E190" s="27" t="s">
        <v>25</v>
      </c>
      <c r="F190" s="27" t="s">
        <v>144</v>
      </c>
      <c r="G190" s="27" t="s">
        <v>130</v>
      </c>
      <c r="I190" s="27" t="s">
        <v>24</v>
      </c>
      <c r="J190" s="27"/>
      <c r="K190" s="27" t="s">
        <v>133</v>
      </c>
      <c r="L190" s="27" t="s">
        <v>134</v>
      </c>
      <c r="N190" s="81"/>
      <c r="O190" t="s">
        <v>170</v>
      </c>
      <c r="P190" s="65">
        <v>-540000</v>
      </c>
      <c r="Q190" s="209">
        <f>Q189+P190</f>
        <v>2950000</v>
      </c>
      <c r="R190" s="141">
        <f>Q190-N188</f>
        <v>25694.679999999236</v>
      </c>
    </row>
    <row r="191" spans="1:18" ht="15.75">
      <c r="A191" s="71"/>
      <c r="B191" s="72"/>
      <c r="C191" s="72"/>
      <c r="D191" s="21"/>
      <c r="E191" s="28">
        <f>SUM(E124:E190)</f>
        <v>272835.88</v>
      </c>
      <c r="F191" s="28">
        <f>SUM(F124:F190)</f>
        <v>100000</v>
      </c>
      <c r="G191" s="28">
        <f>+G188</f>
        <v>372835.88</v>
      </c>
      <c r="I191" s="28">
        <f>I178</f>
        <v>2428402.27</v>
      </c>
      <c r="J191" s="28"/>
      <c r="K191" s="28">
        <f>L191-I191</f>
        <v>123067.17000000039</v>
      </c>
      <c r="L191" s="28">
        <f>L178</f>
        <v>2551469.4400000004</v>
      </c>
      <c r="N191" s="218"/>
      <c r="O191" s="203"/>
      <c r="P191" s="203"/>
      <c r="Q191" s="203"/>
      <c r="R191" s="219"/>
    </row>
    <row r="192" spans="1:18">
      <c r="I192"/>
      <c r="J192"/>
      <c r="L192" s="10"/>
      <c r="M192" s="3"/>
      <c r="O192" s="171"/>
      <c r="P192" s="26"/>
    </row>
    <row r="193" spans="1:17">
      <c r="E193" s="164" t="s">
        <v>145</v>
      </c>
      <c r="F193" s="95"/>
      <c r="G193" s="86"/>
      <c r="M193" s="3"/>
      <c r="N193" s="165" t="s">
        <v>148</v>
      </c>
      <c r="O193" s="166"/>
      <c r="Q193" s="10"/>
    </row>
    <row r="194" spans="1:17">
      <c r="E194"/>
      <c r="F194"/>
      <c r="G194"/>
      <c r="N194" s="3"/>
      <c r="O194" s="3"/>
    </row>
    <row r="195" spans="1:17">
      <c r="E195" t="s">
        <v>21</v>
      </c>
      <c r="F195"/>
      <c r="G195" s="26">
        <f>I191</f>
        <v>2428402.27</v>
      </c>
      <c r="N195" s="3" t="s">
        <v>149</v>
      </c>
      <c r="O195" s="3"/>
      <c r="Q195" s="69">
        <f>G199</f>
        <v>2924305.3200000003</v>
      </c>
    </row>
    <row r="196" spans="1:17">
      <c r="E196" t="s">
        <v>136</v>
      </c>
      <c r="F196"/>
      <c r="G196" s="26">
        <f>K191</f>
        <v>123067.17000000039</v>
      </c>
      <c r="N196" s="3" t="s">
        <v>150</v>
      </c>
      <c r="O196" s="3"/>
      <c r="Q196" s="3">
        <v>-1800000</v>
      </c>
    </row>
    <row r="197" spans="1:17">
      <c r="E197" s="236" t="s">
        <v>20</v>
      </c>
      <c r="F197"/>
      <c r="G197" s="26">
        <f>E191</f>
        <v>272835.88</v>
      </c>
      <c r="H197"/>
      <c r="N197" s="118" t="s">
        <v>151</v>
      </c>
      <c r="Q197" s="3">
        <v>-180000</v>
      </c>
    </row>
    <row r="198" spans="1:17">
      <c r="E198" t="s">
        <v>146</v>
      </c>
      <c r="F198"/>
      <c r="G198" s="26">
        <f>F191</f>
        <v>100000</v>
      </c>
      <c r="H198"/>
      <c r="N198" s="118" t="s">
        <v>152</v>
      </c>
      <c r="Q198" s="15">
        <v>-150000</v>
      </c>
    </row>
    <row r="199" spans="1:17">
      <c r="A199"/>
      <c r="E199" s="164" t="s">
        <v>29</v>
      </c>
      <c r="F199" s="96"/>
      <c r="G199" s="168">
        <f>SUM(G195:G198)</f>
        <v>2924305.3200000003</v>
      </c>
      <c r="H199"/>
      <c r="N199" s="165" t="s">
        <v>242</v>
      </c>
      <c r="O199" s="95"/>
      <c r="P199" s="95"/>
      <c r="Q199" s="163">
        <f>SUM(Q195:Q198)</f>
        <v>794305.3200000003</v>
      </c>
    </row>
    <row r="200" spans="1:17">
      <c r="A200"/>
      <c r="E200"/>
      <c r="F200"/>
      <c r="G200"/>
      <c r="H200"/>
      <c r="N200" s="3" t="s">
        <v>155</v>
      </c>
      <c r="O200" s="3"/>
      <c r="Q200" s="15">
        <v>-213271.52</v>
      </c>
    </row>
    <row r="201" spans="1:17">
      <c r="A201"/>
      <c r="E201"/>
      <c r="F201"/>
      <c r="G201"/>
      <c r="H201"/>
      <c r="N201" s="3" t="s">
        <v>154</v>
      </c>
      <c r="O201" s="3"/>
      <c r="Q201" s="167">
        <f>-G65</f>
        <v>-80557.39</v>
      </c>
    </row>
    <row r="202" spans="1:17">
      <c r="A202"/>
      <c r="E202"/>
      <c r="F202"/>
      <c r="G202"/>
      <c r="H202"/>
      <c r="I202"/>
      <c r="J202"/>
      <c r="N202" s="165" t="s">
        <v>153</v>
      </c>
      <c r="O202" s="95"/>
      <c r="P202" s="95"/>
      <c r="Q202" s="163">
        <f>SUM(Q199:Q201)</f>
        <v>500476.41000000027</v>
      </c>
    </row>
    <row r="203" spans="1:17">
      <c r="A203"/>
      <c r="E203"/>
      <c r="F203"/>
      <c r="G203"/>
      <c r="H203"/>
      <c r="I203"/>
      <c r="J203"/>
      <c r="N203" s="118" t="s">
        <v>241</v>
      </c>
    </row>
    <row r="204" spans="1:17">
      <c r="A204"/>
      <c r="E204"/>
      <c r="F204"/>
      <c r="G204"/>
      <c r="H204"/>
      <c r="I204"/>
      <c r="J204"/>
    </row>
    <row r="205" spans="1:17">
      <c r="A205"/>
      <c r="E205"/>
      <c r="F205"/>
      <c r="G205"/>
      <c r="H205"/>
      <c r="I205"/>
      <c r="J205"/>
    </row>
    <row r="206" spans="1:17">
      <c r="A206"/>
      <c r="E206"/>
      <c r="F206"/>
      <c r="G206"/>
      <c r="H206"/>
      <c r="I206"/>
      <c r="J206"/>
    </row>
    <row r="207" spans="1:17">
      <c r="A207"/>
      <c r="E207"/>
      <c r="F207"/>
      <c r="G207"/>
      <c r="H207"/>
      <c r="I207"/>
      <c r="J207"/>
    </row>
    <row r="208" spans="1:17">
      <c r="A208"/>
      <c r="E208"/>
      <c r="F208"/>
      <c r="G208"/>
      <c r="H208"/>
      <c r="I208"/>
      <c r="J208"/>
    </row>
    <row r="209" spans="1:10">
      <c r="A209"/>
      <c r="E209"/>
      <c r="F209"/>
      <c r="G209"/>
      <c r="H209"/>
      <c r="I209"/>
      <c r="J209"/>
    </row>
    <row r="210" spans="1:10">
      <c r="A210"/>
      <c r="E210"/>
      <c r="F210"/>
      <c r="G210"/>
      <c r="H210"/>
      <c r="I210"/>
      <c r="J210"/>
    </row>
    <row r="211" spans="1:10">
      <c r="A211"/>
      <c r="E211"/>
      <c r="F211"/>
      <c r="G211"/>
      <c r="H211"/>
      <c r="I211"/>
      <c r="J211"/>
    </row>
    <row r="212" spans="1:10">
      <c r="A212"/>
      <c r="E212"/>
      <c r="F212"/>
      <c r="G212"/>
      <c r="H212"/>
      <c r="I212"/>
      <c r="J212"/>
    </row>
    <row r="213" spans="1:10">
      <c r="A213"/>
      <c r="E213"/>
      <c r="F213"/>
      <c r="G213"/>
      <c r="H213"/>
      <c r="I213"/>
      <c r="J213"/>
    </row>
  </sheetData>
  <mergeCells count="11">
    <mergeCell ref="J67:M69"/>
    <mergeCell ref="A101:H101"/>
    <mergeCell ref="E121:G121"/>
    <mergeCell ref="E1:F1"/>
    <mergeCell ref="A24:J24"/>
    <mergeCell ref="G82:H82"/>
    <mergeCell ref="A6:J6"/>
    <mergeCell ref="E2:F2"/>
    <mergeCell ref="A90:C90"/>
    <mergeCell ref="A32:D32"/>
    <mergeCell ref="A51:C51"/>
  </mergeCells>
  <pageMargins left="0.7" right="0.7" top="0.75" bottom="0.75" header="0.3" footer="0.3"/>
  <pageSetup paperSize="8" scale="7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CG-ASUSWIN10</cp:lastModifiedBy>
  <cp:lastPrinted>2023-07-26T09:51:14Z</cp:lastPrinted>
  <dcterms:created xsi:type="dcterms:W3CDTF">2015-06-05T18:19:34Z</dcterms:created>
  <dcterms:modified xsi:type="dcterms:W3CDTF">2023-08-29T09:04:16Z</dcterms:modified>
</cp:coreProperties>
</file>